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codeName="ThisWorkbook" defaultThemeVersion="124226"/>
  <mc:AlternateContent xmlns:mc="http://schemas.openxmlformats.org/markup-compatibility/2006">
    <mc:Choice Requires="x15">
      <x15ac:absPath xmlns:x15ac="http://schemas.microsoft.com/office/spreadsheetml/2010/11/ac" url="https://schneiderelectric-my.sharepoint.com/personal/sesa54232_se_com/Documents/AccuSine PCS+/AccuSine PCS+/"/>
    </mc:Choice>
  </mc:AlternateContent>
  <xr:revisionPtr revIDLastSave="0" documentId="8_{982FD6F2-8725-48CE-998E-8218844C5E02}" xr6:coauthVersionLast="47" xr6:coauthVersionMax="47" xr10:uidLastSave="{00000000-0000-0000-0000-000000000000}"/>
  <bookViews>
    <workbookView xWindow="-110" yWindow="-110" windowWidth="19420" windowHeight="10420" firstSheet="4" activeTab="5" xr2:uid="{00000000-000D-0000-FFFF-FFFF00000000}"/>
  </bookViews>
  <sheets>
    <sheet name="Single VFD" sheetId="1" state="hidden" r:id="rId1"/>
    <sheet name="work page" sheetId="4" state="hidden" r:id="rId2"/>
    <sheet name="Selection Basics" sheetId="2" state="hidden" r:id="rId3"/>
    <sheet name="Instructions" sheetId="6" r:id="rId4"/>
    <sheet name="Electrical System 1-line" sheetId="7" r:id="rId5"/>
    <sheet name="AccuSine Sizing Tool" sheetId="5" r:id="rId6"/>
    <sheet name="Server" sheetId="11" r:id="rId7"/>
    <sheet name="Model Selector" sheetId="8" r:id="rId8"/>
    <sheet name="Mod Sel Calcs" sheetId="9" state="hidden" r:id="rId9"/>
    <sheet name="CT Selector" sheetId="10" r:id="rId10"/>
    <sheet name="Typical  THDi levels " sheetId="3" r:id="rId11"/>
  </sheets>
  <externalReferences>
    <externalReference r:id="rId12"/>
  </externalReferences>
  <definedNames>
    <definedName name="_xlnm._FilterDatabase" localSheetId="7" hidden="1">'Mod Sel Calcs'!$E$13:$E$14</definedName>
    <definedName name="Equipment">'work page'!$H$17:$H$31</definedName>
    <definedName name="InstalledImpedance">'work page'!$H$46:$H$51</definedName>
    <definedName name="KW">'[1]work page'!$G$17:$G$19</definedName>
    <definedName name="no">'Mod Sel Calcs'!XFB13:XFB14</definedName>
    <definedName name="PCC">'work page'!$Q$22:$Q$25</definedName>
    <definedName name="PowerRating">'work page'!$G$17:$G$19</definedName>
    <definedName name="_xlnm.Print_Area" localSheetId="5">'AccuSine Sizing Tool'!$A$1:$J$88</definedName>
    <definedName name="_xlnm.Print_Area" localSheetId="9">'CT Selector'!$B$1:$J$24</definedName>
    <definedName name="_xlnm.Print_Area" localSheetId="4">'Electrical System 1-line'!$B$1:$P$48</definedName>
    <definedName name="_xlnm.Print_Area" localSheetId="3">Instructions!$A$3:$H$39</definedName>
    <definedName name="_xlnm.Print_Area" localSheetId="7">'Model Selector'!$B$1:$I$33</definedName>
    <definedName name="_xlnm.Print_Area" localSheetId="6">Server!$A$1:$K$43</definedName>
    <definedName name="_xlnm.Print_Area" localSheetId="10">'Typical  THDi levels '!$D$1:$O$56</definedName>
    <definedName name="Pulses">'work page'!$J$17:$J$19</definedName>
    <definedName name="StandardApplied">'work page'!$H$40:$H$42</definedName>
    <definedName name="UnitofPower">'work page'!$Q$22:$Q$25</definedName>
    <definedName name="x">'Model Selector'!$T$7:$T$8</definedName>
    <definedName name="yes">'Mod Sel Calcs'!$A$23:$A$24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8" i="5" l="1"/>
  <c r="F9" i="10" l="1"/>
  <c r="AZ63" i="5" l="1"/>
  <c r="W44" i="10" l="1"/>
  <c r="C3" i="8" l="1"/>
  <c r="B15" i="5"/>
  <c r="C12" i="7"/>
  <c r="F14" i="9"/>
  <c r="D22" i="5"/>
  <c r="H17" i="5"/>
  <c r="E16" i="5"/>
  <c r="K21" i="7"/>
  <c r="O39" i="5" l="1"/>
  <c r="K12" i="7"/>
  <c r="C29" i="8" l="1"/>
  <c r="Y25" i="4"/>
  <c r="C16" i="10"/>
  <c r="D11" i="9"/>
  <c r="H9" i="8" l="1"/>
  <c r="H8" i="8"/>
  <c r="I10" i="10" l="1"/>
  <c r="F12" i="10" s="1"/>
  <c r="G10" i="10"/>
  <c r="F11" i="10" s="1"/>
  <c r="AE23" i="11" l="1"/>
  <c r="Y11" i="11"/>
  <c r="Y12" i="11"/>
  <c r="Y13" i="11"/>
  <c r="Y10" i="11"/>
  <c r="U13" i="11"/>
  <c r="W13" i="11" s="1"/>
  <c r="U11" i="11"/>
  <c r="V11" i="11" s="1"/>
  <c r="U12" i="11"/>
  <c r="W12" i="11" s="1"/>
  <c r="U10" i="11"/>
  <c r="X10" i="11" s="1"/>
  <c r="G4" i="11"/>
  <c r="J3" i="11"/>
  <c r="I3" i="11"/>
  <c r="A4" i="11"/>
  <c r="A3" i="11"/>
  <c r="I4" i="11"/>
  <c r="D4" i="11"/>
  <c r="D3" i="11"/>
  <c r="AA8" i="11"/>
  <c r="Y16" i="11" s="1"/>
  <c r="H10" i="11"/>
  <c r="W11" i="11" l="1"/>
  <c r="V13" i="11"/>
  <c r="AA13" i="11" s="1"/>
  <c r="X13" i="11"/>
  <c r="V12" i="11"/>
  <c r="X12" i="11"/>
  <c r="X11" i="11"/>
  <c r="AA11" i="11"/>
  <c r="Z11" i="11"/>
  <c r="V10" i="11"/>
  <c r="W10" i="11" s="1"/>
  <c r="W14" i="11" s="1"/>
  <c r="U14" i="11"/>
  <c r="E11" i="9"/>
  <c r="C14" i="5"/>
  <c r="Z13" i="11" l="1"/>
  <c r="AB13" i="11" s="1"/>
  <c r="X14" i="11"/>
  <c r="AA12" i="11"/>
  <c r="Z12" i="11"/>
  <c r="AB12" i="11" s="1"/>
  <c r="AB11" i="11"/>
  <c r="V14" i="11"/>
  <c r="AA10" i="11"/>
  <c r="AA14" i="11" s="1"/>
  <c r="S26" i="11"/>
  <c r="Z10" i="11"/>
  <c r="J40" i="7"/>
  <c r="G9" i="4"/>
  <c r="G8" i="4"/>
  <c r="Y23" i="4"/>
  <c r="G3" i="5"/>
  <c r="H14" i="7"/>
  <c r="I3" i="5"/>
  <c r="J2" i="5"/>
  <c r="A3" i="5"/>
  <c r="I2" i="5"/>
  <c r="A2" i="5"/>
  <c r="F12" i="7"/>
  <c r="Z14" i="11" l="1"/>
  <c r="Y14" i="11"/>
  <c r="Y17" i="11" s="1"/>
  <c r="V21" i="11"/>
  <c r="X8" i="11"/>
  <c r="AA15" i="11" s="1"/>
  <c r="Z21" i="11" s="1"/>
  <c r="J8" i="11"/>
  <c r="AB10" i="11"/>
  <c r="G17" i="8"/>
  <c r="D10" i="9"/>
  <c r="F11" i="9"/>
  <c r="S57" i="9"/>
  <c r="S56" i="9"/>
  <c r="K52" i="9"/>
  <c r="J36" i="9" l="1"/>
  <c r="J16" i="9"/>
  <c r="J11" i="9"/>
  <c r="J37" i="9"/>
  <c r="J31" i="9"/>
  <c r="J10" i="9"/>
  <c r="J38" i="9"/>
  <c r="J32" i="9"/>
  <c r="J14" i="9"/>
  <c r="J33" i="9"/>
  <c r="J15" i="9"/>
  <c r="J8" i="9"/>
  <c r="J34" i="9"/>
  <c r="J17" i="9"/>
  <c r="J9" i="9"/>
  <c r="J39" i="9"/>
  <c r="H56" i="9"/>
  <c r="H64" i="9"/>
  <c r="Z15" i="11"/>
  <c r="AC11" i="11"/>
  <c r="AC13" i="11"/>
  <c r="AC12" i="11"/>
  <c r="X21" i="11"/>
  <c r="X15" i="11"/>
  <c r="V15" i="11"/>
  <c r="X24" i="11" s="1"/>
  <c r="W15" i="11"/>
  <c r="U15" i="11"/>
  <c r="AB21" i="11"/>
  <c r="AB14" i="11"/>
  <c r="AB15" i="11" s="1"/>
  <c r="AC10" i="11"/>
  <c r="J52" i="9"/>
  <c r="H66" i="9"/>
  <c r="J45" i="9"/>
  <c r="J26" i="9"/>
  <c r="J50" i="9"/>
  <c r="J20" i="9"/>
  <c r="J25" i="9"/>
  <c r="J43" i="9"/>
  <c r="J49" i="9"/>
  <c r="J22" i="9"/>
  <c r="J27" i="9"/>
  <c r="J51" i="9"/>
  <c r="J21" i="9"/>
  <c r="J44" i="9"/>
  <c r="J23" i="9"/>
  <c r="J46" i="9"/>
  <c r="H62" i="9"/>
  <c r="H60" i="9"/>
  <c r="H70" i="9"/>
  <c r="H58" i="9"/>
  <c r="H68" i="9"/>
  <c r="AC14" i="11" l="1"/>
  <c r="AC21" i="11" s="1"/>
  <c r="AE21" i="11" s="1"/>
  <c r="AE25" i="11" s="1"/>
  <c r="V24" i="11"/>
  <c r="Z24" i="11"/>
  <c r="E22" i="11"/>
  <c r="G22" i="11" s="1"/>
  <c r="F20" i="9"/>
  <c r="K54" i="9"/>
  <c r="K28" i="9"/>
  <c r="J28" i="9" s="1"/>
  <c r="F19" i="9"/>
  <c r="F18" i="9"/>
  <c r="F17" i="9"/>
  <c r="F16" i="9"/>
  <c r="F15" i="9"/>
  <c r="AM47" i="5"/>
  <c r="AM46" i="5"/>
  <c r="AM45" i="5"/>
  <c r="AM44" i="5"/>
  <c r="AM43" i="5"/>
  <c r="AM42" i="5"/>
  <c r="AM41" i="5"/>
  <c r="AM40" i="5"/>
  <c r="AM39" i="5"/>
  <c r="AM38" i="5"/>
  <c r="AL47" i="5"/>
  <c r="AL46" i="5"/>
  <c r="AL45" i="5"/>
  <c r="AL44" i="5"/>
  <c r="AL43" i="5"/>
  <c r="AL42" i="5"/>
  <c r="AL41" i="5"/>
  <c r="AL40" i="5"/>
  <c r="AL39" i="5"/>
  <c r="AL38" i="5"/>
  <c r="AD38" i="5"/>
  <c r="O42" i="5"/>
  <c r="AD42" i="5"/>
  <c r="O41" i="5"/>
  <c r="AD41" i="5"/>
  <c r="O40" i="5"/>
  <c r="BA40" i="5" s="1"/>
  <c r="AD40" i="5"/>
  <c r="BA39" i="5"/>
  <c r="AD39" i="5"/>
  <c r="O38" i="5"/>
  <c r="O22" i="2"/>
  <c r="N22" i="2"/>
  <c r="H8" i="4"/>
  <c r="G10" i="4"/>
  <c r="H10" i="4"/>
  <c r="G11" i="4"/>
  <c r="H11" i="4"/>
  <c r="AD47" i="5"/>
  <c r="AD46" i="5"/>
  <c r="AD45" i="5"/>
  <c r="AD44" i="5"/>
  <c r="AD43" i="5"/>
  <c r="N23" i="2"/>
  <c r="O23" i="2"/>
  <c r="N24" i="2"/>
  <c r="O24" i="2"/>
  <c r="N25" i="2"/>
  <c r="O25" i="2"/>
  <c r="N26" i="2"/>
  <c r="O26" i="2"/>
  <c r="N27" i="2"/>
  <c r="O27" i="2"/>
  <c r="N28" i="2"/>
  <c r="O28" i="2"/>
  <c r="N29" i="2"/>
  <c r="O29" i="2"/>
  <c r="N30" i="2"/>
  <c r="O30" i="2"/>
  <c r="N31" i="2"/>
  <c r="Z31" i="2" s="1"/>
  <c r="O31" i="2"/>
  <c r="AE51" i="5"/>
  <c r="AF51" i="5"/>
  <c r="AH51" i="5" s="1"/>
  <c r="M51" i="5"/>
  <c r="O51" i="5" s="1"/>
  <c r="O43" i="5"/>
  <c r="O44" i="5"/>
  <c r="O45" i="5"/>
  <c r="X29" i="2" s="1"/>
  <c r="O46" i="5"/>
  <c r="O47" i="5"/>
  <c r="H9" i="4"/>
  <c r="AB39" i="5"/>
  <c r="AB40" i="5"/>
  <c r="AB41" i="5"/>
  <c r="AB42" i="5"/>
  <c r="AB43" i="5"/>
  <c r="AB47" i="5"/>
  <c r="AC39" i="5"/>
  <c r="AC40" i="5"/>
  <c r="AC41" i="5"/>
  <c r="AC42" i="5"/>
  <c r="AC43" i="5"/>
  <c r="AC44" i="5"/>
  <c r="AC45" i="5"/>
  <c r="AC46" i="5"/>
  <c r="AC47" i="5"/>
  <c r="AQ60" i="5"/>
  <c r="M52" i="5"/>
  <c r="O52" i="5" s="1"/>
  <c r="AE52" i="5"/>
  <c r="AG52" i="5" s="1"/>
  <c r="M53" i="5"/>
  <c r="O53" i="5" s="1"/>
  <c r="AE53" i="5"/>
  <c r="AG53" i="5" s="1"/>
  <c r="M54" i="5"/>
  <c r="O54" i="5" s="1"/>
  <c r="AE54" i="5"/>
  <c r="AG54" i="5" s="1"/>
  <c r="M55" i="5"/>
  <c r="O55" i="5" s="1"/>
  <c r="AE55" i="5"/>
  <c r="AI55" i="5" s="1"/>
  <c r="R55" i="5" s="1"/>
  <c r="P55" i="5" s="1"/>
  <c r="S55" i="5" s="1"/>
  <c r="V55" i="5" s="1"/>
  <c r="U55" i="5" s="1"/>
  <c r="AB44" i="5"/>
  <c r="AB45" i="5"/>
  <c r="AB46" i="5"/>
  <c r="AF52" i="5"/>
  <c r="AH52" i="5" s="1"/>
  <c r="AF53" i="5"/>
  <c r="AH53" i="5" s="1"/>
  <c r="AF54" i="5"/>
  <c r="AH54" i="5" s="1"/>
  <c r="AF55" i="5"/>
  <c r="AH55" i="5" s="1"/>
  <c r="N51" i="5"/>
  <c r="Q51" i="5" s="1"/>
  <c r="N52" i="5"/>
  <c r="Q52" i="5" s="1"/>
  <c r="N53" i="5"/>
  <c r="Q53" i="5" s="1"/>
  <c r="N54" i="5"/>
  <c r="Q54" i="5" s="1"/>
  <c r="N55" i="5"/>
  <c r="Q55" i="5" s="1"/>
  <c r="AE56" i="5"/>
  <c r="AI56" i="5" s="1"/>
  <c r="K26" i="7"/>
  <c r="AA14" i="5"/>
  <c r="AA16" i="5" s="1"/>
  <c r="N15" i="5"/>
  <c r="F5" i="5" s="1"/>
  <c r="P15" i="5"/>
  <c r="AA13" i="5"/>
  <c r="AF56" i="5"/>
  <c r="AH56" i="5" s="1"/>
  <c r="I3" i="8"/>
  <c r="I3" i="10" s="1"/>
  <c r="D3" i="10"/>
  <c r="O88" i="5"/>
  <c r="P88" i="5"/>
  <c r="Q15" i="5"/>
  <c r="O15" i="5"/>
  <c r="B5" i="5" s="1"/>
  <c r="C23" i="5"/>
  <c r="A27" i="5"/>
  <c r="A28" i="5" s="1"/>
  <c r="A29" i="5" s="1"/>
  <c r="A30" i="5" s="1"/>
  <c r="A31" i="5" s="1"/>
  <c r="A32" i="5" s="1"/>
  <c r="A33" i="5" s="1"/>
  <c r="A34" i="5" s="1"/>
  <c r="A35" i="5" s="1"/>
  <c r="A40" i="5" s="1"/>
  <c r="A41" i="5" s="1"/>
  <c r="A42" i="5" s="1"/>
  <c r="A43" i="5" s="1"/>
  <c r="A44" i="5" s="1"/>
  <c r="Y24" i="4"/>
  <c r="Y22" i="4"/>
  <c r="M50" i="2"/>
  <c r="P36" i="2"/>
  <c r="I24" i="2"/>
  <c r="Q10" i="2"/>
  <c r="P10" i="2"/>
  <c r="O10" i="2"/>
  <c r="N10" i="2"/>
  <c r="M10" i="2"/>
  <c r="L10" i="2"/>
  <c r="K10" i="2"/>
  <c r="J10" i="2"/>
  <c r="I9" i="2"/>
  <c r="Q7" i="2"/>
  <c r="P7" i="2"/>
  <c r="O7" i="2"/>
  <c r="N7" i="2"/>
  <c r="M7" i="2"/>
  <c r="L7" i="2"/>
  <c r="K7" i="2"/>
  <c r="J7" i="2"/>
  <c r="I6" i="2"/>
  <c r="Q4" i="2"/>
  <c r="P4" i="2"/>
  <c r="O4" i="2"/>
  <c r="N4" i="2"/>
  <c r="M4" i="2"/>
  <c r="L4" i="2"/>
  <c r="K4" i="2"/>
  <c r="J4" i="2"/>
  <c r="I3" i="2"/>
  <c r="AE16" i="1"/>
  <c r="AE15" i="1"/>
  <c r="AE14" i="1"/>
  <c r="AE13" i="1"/>
  <c r="AE12" i="1"/>
  <c r="AE11" i="1"/>
  <c r="AE10" i="1"/>
  <c r="AE9" i="1"/>
  <c r="AE8" i="1"/>
  <c r="AE7" i="1"/>
  <c r="AC33" i="1"/>
  <c r="Z33" i="1"/>
  <c r="V33" i="1"/>
  <c r="R33" i="1"/>
  <c r="N33" i="1"/>
  <c r="J33" i="1"/>
  <c r="F33" i="1"/>
  <c r="B33" i="1"/>
  <c r="AF44" i="1"/>
  <c r="AF43" i="1"/>
  <c r="AF42" i="1"/>
  <c r="AF41" i="1"/>
  <c r="AF40" i="1"/>
  <c r="AF39" i="1"/>
  <c r="AF38" i="1"/>
  <c r="AF37" i="1"/>
  <c r="AF36" i="1"/>
  <c r="AF35" i="1"/>
  <c r="AC19" i="1"/>
  <c r="Z19" i="1"/>
  <c r="V19" i="1"/>
  <c r="R19" i="1"/>
  <c r="N19" i="1"/>
  <c r="J19" i="1"/>
  <c r="F19" i="1"/>
  <c r="B19" i="1"/>
  <c r="B5" i="1"/>
  <c r="AF30" i="1"/>
  <c r="AF29" i="1"/>
  <c r="AF28" i="1"/>
  <c r="AF27" i="1"/>
  <c r="AF26" i="1"/>
  <c r="AF25" i="1"/>
  <c r="AF24" i="1"/>
  <c r="AF23" i="1"/>
  <c r="AF22" i="1"/>
  <c r="AF21" i="1"/>
  <c r="AF116" i="1"/>
  <c r="AF115" i="1"/>
  <c r="AF114" i="1"/>
  <c r="AF113" i="1"/>
  <c r="AF112" i="1"/>
  <c r="AF111" i="1"/>
  <c r="AF110" i="1"/>
  <c r="AF109" i="1"/>
  <c r="AF102" i="1"/>
  <c r="AF101" i="1"/>
  <c r="AF100" i="1"/>
  <c r="AF99" i="1"/>
  <c r="AF98" i="1"/>
  <c r="AF97" i="1"/>
  <c r="AF96" i="1"/>
  <c r="AF95" i="1"/>
  <c r="AF94" i="1"/>
  <c r="AF87" i="1"/>
  <c r="AF86" i="1"/>
  <c r="AF85" i="1"/>
  <c r="AF84" i="1"/>
  <c r="AF83" i="1"/>
  <c r="AF82" i="1"/>
  <c r="AF81" i="1"/>
  <c r="AF80" i="1"/>
  <c r="AF79" i="1"/>
  <c r="AF72" i="1"/>
  <c r="AF71" i="1"/>
  <c r="AF70" i="1"/>
  <c r="AF69" i="1"/>
  <c r="AF68" i="1"/>
  <c r="AF67" i="1"/>
  <c r="AF66" i="1"/>
  <c r="AF65" i="1"/>
  <c r="AF64" i="1"/>
  <c r="AF57" i="1"/>
  <c r="AF56" i="1"/>
  <c r="AF55" i="1"/>
  <c r="AF54" i="1"/>
  <c r="AF53" i="1"/>
  <c r="AF52" i="1"/>
  <c r="AF51" i="1"/>
  <c r="AF50" i="1"/>
  <c r="AF49" i="1"/>
  <c r="AF16" i="1"/>
  <c r="AF15" i="1"/>
  <c r="AF14" i="1"/>
  <c r="AF12" i="1"/>
  <c r="AF11" i="1"/>
  <c r="AF10" i="1"/>
  <c r="AF8" i="1"/>
  <c r="AF13" i="1"/>
  <c r="AF9" i="1"/>
  <c r="AF7" i="1"/>
  <c r="AC106" i="1"/>
  <c r="V106" i="1"/>
  <c r="R106" i="1"/>
  <c r="N106" i="1"/>
  <c r="B106" i="1"/>
  <c r="F106" i="1"/>
  <c r="Z106" i="1"/>
  <c r="J106" i="1"/>
  <c r="AC92" i="1"/>
  <c r="V92" i="1"/>
  <c r="R92" i="1"/>
  <c r="J92" i="1"/>
  <c r="F92" i="1"/>
  <c r="Z92" i="1"/>
  <c r="N92" i="1"/>
  <c r="B92" i="1"/>
  <c r="AC77" i="1"/>
  <c r="Z77" i="1"/>
  <c r="V77" i="1"/>
  <c r="R77" i="1"/>
  <c r="N77" i="1"/>
  <c r="J77" i="1"/>
  <c r="F77" i="1"/>
  <c r="B77" i="1"/>
  <c r="AC62" i="1"/>
  <c r="Z62" i="1"/>
  <c r="V62" i="1"/>
  <c r="R62" i="1"/>
  <c r="N62" i="1"/>
  <c r="J62" i="1"/>
  <c r="F62" i="1"/>
  <c r="B62" i="1"/>
  <c r="AC47" i="1"/>
  <c r="Z47" i="1"/>
  <c r="V47" i="1"/>
  <c r="R47" i="1"/>
  <c r="N47" i="1"/>
  <c r="J47" i="1"/>
  <c r="F47" i="1"/>
  <c r="B47" i="1"/>
  <c r="AC5" i="1"/>
  <c r="Z5" i="1"/>
  <c r="V5" i="1"/>
  <c r="R5" i="1"/>
  <c r="N5" i="1"/>
  <c r="J5" i="1"/>
  <c r="F5" i="1"/>
  <c r="I24" i="4"/>
  <c r="I22" i="4"/>
  <c r="I21" i="4"/>
  <c r="I20" i="4"/>
  <c r="I18" i="4"/>
  <c r="P29" i="2" l="1"/>
  <c r="R45" i="5" s="1"/>
  <c r="AA35" i="5"/>
  <c r="AA38" i="5" s="1"/>
  <c r="G10" i="5"/>
  <c r="F21" i="9"/>
  <c r="B22" i="8" s="1"/>
  <c r="X27" i="2"/>
  <c r="P27" i="2" s="1"/>
  <c r="AE26" i="11"/>
  <c r="Z20" i="11"/>
  <c r="AB20" i="11" s="1"/>
  <c r="E37" i="11"/>
  <c r="G37" i="11" s="1"/>
  <c r="AG25" i="11"/>
  <c r="G20" i="11"/>
  <c r="G35" i="11" s="1"/>
  <c r="AB24" i="11"/>
  <c r="S23" i="11"/>
  <c r="G28" i="11"/>
  <c r="G26" i="11"/>
  <c r="X25" i="2"/>
  <c r="P25" i="2" s="1"/>
  <c r="R41" i="5" s="1"/>
  <c r="X31" i="2"/>
  <c r="P31" i="2" s="1"/>
  <c r="R47" i="5" s="1"/>
  <c r="BC40" i="5"/>
  <c r="BA41" i="5"/>
  <c r="BE41" i="5" s="1"/>
  <c r="X23" i="2"/>
  <c r="Z23" i="2" s="1"/>
  <c r="AG55" i="5"/>
  <c r="AM48" i="5"/>
  <c r="M57" i="5"/>
  <c r="BA47" i="5"/>
  <c r="BC39" i="5"/>
  <c r="AG56" i="5"/>
  <c r="AI52" i="5"/>
  <c r="R52" i="5" s="1"/>
  <c r="BA44" i="5"/>
  <c r="BH40" i="5" s="1"/>
  <c r="X28" i="2"/>
  <c r="P28" i="2" s="1"/>
  <c r="R28" i="2" s="1"/>
  <c r="X26" i="2"/>
  <c r="Z26" i="2" s="1"/>
  <c r="O57" i="5"/>
  <c r="X57" i="5" s="1"/>
  <c r="BA45" i="5"/>
  <c r="BD45" i="5" s="1"/>
  <c r="AG51" i="5"/>
  <c r="AI51" i="5" s="1"/>
  <c r="R51" i="5" s="1"/>
  <c r="BA46" i="5"/>
  <c r="BJ40" i="5" s="1"/>
  <c r="AI54" i="5"/>
  <c r="R54" i="5" s="1"/>
  <c r="P54" i="5" s="1"/>
  <c r="S54" i="5" s="1"/>
  <c r="V54" i="5" s="1"/>
  <c r="U54" i="5" s="1"/>
  <c r="AI53" i="5"/>
  <c r="R53" i="5" s="1"/>
  <c r="BA42" i="5"/>
  <c r="BD42" i="5" s="1"/>
  <c r="BA43" i="5"/>
  <c r="BC43" i="5" s="1"/>
  <c r="X30" i="2"/>
  <c r="P30" i="2" s="1"/>
  <c r="R30" i="2" s="1"/>
  <c r="S30" i="2" s="1"/>
  <c r="X24" i="2"/>
  <c r="Z24" i="2" s="1"/>
  <c r="Z29" i="2"/>
  <c r="Z27" i="2"/>
  <c r="U28" i="2"/>
  <c r="AA15" i="5"/>
  <c r="U29" i="2"/>
  <c r="J9" i="4"/>
  <c r="K9" i="4" s="1"/>
  <c r="U27" i="2"/>
  <c r="BD40" i="5"/>
  <c r="BD39" i="5"/>
  <c r="AL48" i="5"/>
  <c r="U24" i="2"/>
  <c r="U31" i="2"/>
  <c r="U26" i="2"/>
  <c r="R88" i="5"/>
  <c r="AA18" i="5"/>
  <c r="AB17" i="5" s="1"/>
  <c r="U30" i="2"/>
  <c r="Z30" i="2"/>
  <c r="J10" i="4"/>
  <c r="AA20" i="5"/>
  <c r="J8" i="4"/>
  <c r="K8" i="4" s="1"/>
  <c r="S36" i="5"/>
  <c r="AW56" i="5"/>
  <c r="D6" i="8"/>
  <c r="B6" i="10" s="1"/>
  <c r="H13" i="4"/>
  <c r="BA38" i="5"/>
  <c r="X22" i="2"/>
  <c r="Z22" i="2" s="1"/>
  <c r="F22" i="9"/>
  <c r="Z28" i="2"/>
  <c r="U25" i="2"/>
  <c r="U22" i="2"/>
  <c r="J11" i="4"/>
  <c r="U23" i="2"/>
  <c r="R29" i="2" l="1"/>
  <c r="S29" i="2" s="1"/>
  <c r="R46" i="5"/>
  <c r="M59" i="2" s="1"/>
  <c r="AA45" i="5"/>
  <c r="AA46" i="5"/>
  <c r="AA47" i="5"/>
  <c r="M60" i="2"/>
  <c r="N73" i="2" s="1"/>
  <c r="M58" i="2"/>
  <c r="S58" i="2" s="1"/>
  <c r="X58" i="2" s="1"/>
  <c r="AA44" i="5"/>
  <c r="AA43" i="5"/>
  <c r="R43" i="5"/>
  <c r="R27" i="2"/>
  <c r="S27" i="2" s="1"/>
  <c r="AA42" i="5"/>
  <c r="BC44" i="5"/>
  <c r="Z25" i="2"/>
  <c r="AA40" i="5"/>
  <c r="P53" i="5"/>
  <c r="S53" i="5" s="1"/>
  <c r="V53" i="5" s="1"/>
  <c r="U53" i="5" s="1"/>
  <c r="P26" i="2"/>
  <c r="R42" i="5" s="1"/>
  <c r="M55" i="2" s="1"/>
  <c r="AA41" i="5"/>
  <c r="P24" i="2"/>
  <c r="R24" i="2" s="1"/>
  <c r="S24" i="2" s="1"/>
  <c r="C48" i="9"/>
  <c r="G9" i="9"/>
  <c r="F4" i="8"/>
  <c r="P52" i="5"/>
  <c r="S52" i="5" s="1"/>
  <c r="V52" i="5" s="1"/>
  <c r="U52" i="5" s="1"/>
  <c r="F16" i="8"/>
  <c r="E35" i="11"/>
  <c r="AG26" i="11"/>
  <c r="BK46" i="5"/>
  <c r="BK40" i="5"/>
  <c r="BC47" i="5"/>
  <c r="M10" i="4"/>
  <c r="M9" i="4"/>
  <c r="M8" i="4"/>
  <c r="AA39" i="5"/>
  <c r="P23" i="2"/>
  <c r="R23" i="2" s="1"/>
  <c r="BE40" i="5"/>
  <c r="BD41" i="5"/>
  <c r="BE39" i="5"/>
  <c r="M54" i="2"/>
  <c r="M67" i="2" s="1"/>
  <c r="BC41" i="5"/>
  <c r="BK41" i="5"/>
  <c r="BH46" i="5"/>
  <c r="BD46" i="5"/>
  <c r="BH47" i="5"/>
  <c r="P51" i="5"/>
  <c r="S51" i="5" s="1"/>
  <c r="V51" i="5" s="1"/>
  <c r="U51" i="5" s="1"/>
  <c r="W51" i="5" s="1"/>
  <c r="BI39" i="5"/>
  <c r="BJ39" i="5"/>
  <c r="BD43" i="5"/>
  <c r="BK47" i="5"/>
  <c r="BK39" i="5"/>
  <c r="BD47" i="5"/>
  <c r="BG40" i="5"/>
  <c r="BK42" i="5"/>
  <c r="BE47" i="5"/>
  <c r="BH41" i="5"/>
  <c r="BH44" i="5"/>
  <c r="BF39" i="5"/>
  <c r="BD44" i="5"/>
  <c r="BC45" i="5"/>
  <c r="BI40" i="5"/>
  <c r="BC42" i="5"/>
  <c r="BH42" i="5"/>
  <c r="BK44" i="5"/>
  <c r="BH39" i="5"/>
  <c r="BF40" i="5"/>
  <c r="BH45" i="5"/>
  <c r="BE44" i="5"/>
  <c r="BF41" i="5"/>
  <c r="BF45" i="5"/>
  <c r="BF43" i="5"/>
  <c r="BF47" i="5"/>
  <c r="BE42" i="5"/>
  <c r="BF46" i="5"/>
  <c r="BF42" i="5"/>
  <c r="BF44" i="5"/>
  <c r="BG39" i="5"/>
  <c r="BG42" i="5"/>
  <c r="BG46" i="5"/>
  <c r="BG43" i="5"/>
  <c r="BG41" i="5"/>
  <c r="BG47" i="5"/>
  <c r="BE43" i="5"/>
  <c r="BG45" i="5"/>
  <c r="BK43" i="5"/>
  <c r="BG44" i="5"/>
  <c r="BJ43" i="5"/>
  <c r="BJ41" i="5"/>
  <c r="BJ47" i="5"/>
  <c r="BJ46" i="5"/>
  <c r="BJ44" i="5"/>
  <c r="BJ42" i="5"/>
  <c r="BE46" i="5"/>
  <c r="BC46" i="5"/>
  <c r="BJ45" i="5"/>
  <c r="BI46" i="5"/>
  <c r="BI43" i="5"/>
  <c r="BK45" i="5"/>
  <c r="BI47" i="5"/>
  <c r="BI42" i="5"/>
  <c r="BE45" i="5"/>
  <c r="BI45" i="5"/>
  <c r="BI41" i="5"/>
  <c r="BI44" i="5"/>
  <c r="BH43" i="5"/>
  <c r="S60" i="2"/>
  <c r="X60" i="2" s="1"/>
  <c r="R31" i="2"/>
  <c r="S31" i="2" s="1"/>
  <c r="M73" i="2"/>
  <c r="O73" i="2" s="1"/>
  <c r="P60" i="2" s="1"/>
  <c r="R25" i="2"/>
  <c r="S25" i="2" s="1"/>
  <c r="AB19" i="5"/>
  <c r="AC18" i="5" s="1"/>
  <c r="AA21" i="5"/>
  <c r="P47" i="5"/>
  <c r="P42" i="5"/>
  <c r="V65" i="5"/>
  <c r="AF60" i="5"/>
  <c r="P39" i="5"/>
  <c r="P45" i="5"/>
  <c r="P40" i="5"/>
  <c r="P41" i="5"/>
  <c r="P43" i="5"/>
  <c r="P46" i="5"/>
  <c r="P44" i="5"/>
  <c r="P38" i="5"/>
  <c r="M11" i="4"/>
  <c r="P22" i="2"/>
  <c r="R38" i="5" s="1"/>
  <c r="BB43" i="5"/>
  <c r="BK38" i="5"/>
  <c r="BD38" i="5"/>
  <c r="BB45" i="5"/>
  <c r="BJ38" i="5"/>
  <c r="BB42" i="5"/>
  <c r="BB39" i="5"/>
  <c r="BE38" i="5"/>
  <c r="BB44" i="5"/>
  <c r="BB47" i="5"/>
  <c r="BC38" i="5"/>
  <c r="BF38" i="5"/>
  <c r="BB46" i="5"/>
  <c r="BI38" i="5"/>
  <c r="BB41" i="5"/>
  <c r="BB38" i="5"/>
  <c r="BH38" i="5"/>
  <c r="BG38" i="5"/>
  <c r="BB40" i="5"/>
  <c r="M71" i="2"/>
  <c r="R44" i="5"/>
  <c r="S28" i="2"/>
  <c r="U32" i="2"/>
  <c r="S59" i="2" l="1"/>
  <c r="X59" i="2" s="1"/>
  <c r="N72" i="2"/>
  <c r="M72" i="2"/>
  <c r="N71" i="2"/>
  <c r="M57" i="2"/>
  <c r="M56" i="2"/>
  <c r="R40" i="5"/>
  <c r="M53" i="2" s="1"/>
  <c r="N66" i="2" s="1"/>
  <c r="AA48" i="5"/>
  <c r="AA49" i="5" s="1"/>
  <c r="S55" i="2"/>
  <c r="X55" i="2" s="1"/>
  <c r="N68" i="2"/>
  <c r="R26" i="2"/>
  <c r="S26" i="2" s="1"/>
  <c r="M68" i="2"/>
  <c r="Y42" i="5"/>
  <c r="Z42" i="5" s="1"/>
  <c r="Y47" i="5"/>
  <c r="Z47" i="5" s="1"/>
  <c r="L8" i="4"/>
  <c r="G14" i="4" s="1"/>
  <c r="Y38" i="5"/>
  <c r="Z38" i="5" s="1"/>
  <c r="AC38" i="5"/>
  <c r="AC48" i="5" s="1"/>
  <c r="AE29" i="11"/>
  <c r="G38" i="11" s="1"/>
  <c r="B42" i="11" s="1"/>
  <c r="G56" i="9"/>
  <c r="G64" i="9"/>
  <c r="N67" i="2"/>
  <c r="O67" i="2" s="1"/>
  <c r="P54" i="2" s="1"/>
  <c r="S23" i="2"/>
  <c r="R39" i="5"/>
  <c r="M52" i="2" s="1"/>
  <c r="S54" i="2"/>
  <c r="X54" i="2" s="1"/>
  <c r="U57" i="5"/>
  <c r="S57" i="5"/>
  <c r="V57" i="5"/>
  <c r="P57" i="5"/>
  <c r="BL40" i="5"/>
  <c r="BL41" i="5"/>
  <c r="BM41" i="5" s="1"/>
  <c r="BL39" i="5"/>
  <c r="BL45" i="5"/>
  <c r="BM45" i="5" s="1"/>
  <c r="BL46" i="5"/>
  <c r="BM46" i="5" s="1"/>
  <c r="BL44" i="5"/>
  <c r="BM44" i="5" s="1"/>
  <c r="BL43" i="5"/>
  <c r="BM43" i="5" s="1"/>
  <c r="BL47" i="5"/>
  <c r="BM47" i="5" s="1"/>
  <c r="BL42" i="5"/>
  <c r="BM42" i="5" s="1"/>
  <c r="W60" i="2"/>
  <c r="G70" i="9"/>
  <c r="G68" i="9"/>
  <c r="G62" i="9"/>
  <c r="G60" i="9"/>
  <c r="G66" i="9"/>
  <c r="G58" i="9"/>
  <c r="Y41" i="5"/>
  <c r="Z41" i="5" s="1"/>
  <c r="Y43" i="5"/>
  <c r="Z43" i="5" s="1"/>
  <c r="Y45" i="5"/>
  <c r="Z45" i="5" s="1"/>
  <c r="Y44" i="5"/>
  <c r="Z44" i="5" s="1"/>
  <c r="Y39" i="5"/>
  <c r="Z39" i="5" s="1"/>
  <c r="Y46" i="5"/>
  <c r="Z46" i="5" s="1"/>
  <c r="Y40" i="5"/>
  <c r="Z40" i="5" s="1"/>
  <c r="N11" i="4"/>
  <c r="R22" i="2"/>
  <c r="M51" i="2"/>
  <c r="N64" i="2" s="1"/>
  <c r="BL38" i="5"/>
  <c r="BM38" i="5" s="1"/>
  <c r="N70" i="2"/>
  <c r="S57" i="2"/>
  <c r="X57" i="2" s="1"/>
  <c r="M70" i="2"/>
  <c r="O71" i="2"/>
  <c r="P58" i="2" s="1"/>
  <c r="W58" i="2" s="1"/>
  <c r="O72" i="2" l="1"/>
  <c r="P59" i="2" s="1"/>
  <c r="W59" i="2" s="1"/>
  <c r="N69" i="2"/>
  <c r="S56" i="2"/>
  <c r="X56" i="2" s="1"/>
  <c r="M69" i="2"/>
  <c r="S51" i="2"/>
  <c r="X51" i="2" s="1"/>
  <c r="O68" i="2"/>
  <c r="P55" i="2" s="1"/>
  <c r="W55" i="2" s="1"/>
  <c r="R32" i="2"/>
  <c r="P32" i="2" s="1"/>
  <c r="G46" i="5" s="1"/>
  <c r="N10" i="4"/>
  <c r="P11" i="4"/>
  <c r="K10" i="4"/>
  <c r="O10" i="4"/>
  <c r="O11" i="4"/>
  <c r="W54" i="2"/>
  <c r="BM40" i="5"/>
  <c r="M66" i="2"/>
  <c r="O66" i="2" s="1"/>
  <c r="P53" i="2" s="1"/>
  <c r="S53" i="2"/>
  <c r="X53" i="2" s="1"/>
  <c r="BM39" i="5"/>
  <c r="N65" i="2"/>
  <c r="S52" i="2"/>
  <c r="X52" i="2" s="1"/>
  <c r="M65" i="2"/>
  <c r="R57" i="5"/>
  <c r="O70" i="2"/>
  <c r="P57" i="2" s="1"/>
  <c r="W57" i="2" s="1"/>
  <c r="S22" i="2"/>
  <c r="S32" i="2" s="1"/>
  <c r="M64" i="2"/>
  <c r="O64" i="2" s="1"/>
  <c r="P51" i="2" s="1"/>
  <c r="O69" i="2" l="1"/>
  <c r="P56" i="2" s="1"/>
  <c r="W56" i="2" s="1"/>
  <c r="W51" i="2"/>
  <c r="L43" i="2"/>
  <c r="N43" i="2" s="1"/>
  <c r="N44" i="2" s="1"/>
  <c r="Q18" i="4"/>
  <c r="T18" i="4"/>
  <c r="K11" i="4"/>
  <c r="O65" i="2"/>
  <c r="P52" i="2" s="1"/>
  <c r="W52" i="2" s="1"/>
  <c r="W53" i="2"/>
  <c r="M43" i="2" l="1"/>
  <c r="M44" i="2" s="1"/>
  <c r="O43" i="2" s="1"/>
  <c r="P33" i="2" s="1"/>
  <c r="G48" i="5" s="1"/>
  <c r="AT53" i="5" s="1"/>
  <c r="P12" i="4" l="1"/>
  <c r="G13" i="4" s="1"/>
  <c r="N8" i="4"/>
  <c r="M36" i="5" l="1"/>
  <c r="P13" i="4"/>
  <c r="N36" i="5" s="1"/>
  <c r="M43" i="5" s="1"/>
  <c r="M46" i="5" l="1"/>
  <c r="M45" i="5"/>
  <c r="M44" i="5"/>
  <c r="M42" i="5"/>
  <c r="M47" i="5"/>
  <c r="M39" i="5"/>
  <c r="N39" i="5" s="1"/>
  <c r="M41" i="5"/>
  <c r="M38" i="5"/>
  <c r="M40" i="5"/>
  <c r="N41" i="5" l="1"/>
  <c r="N54" i="2" s="1"/>
  <c r="T54" i="2" s="1"/>
  <c r="N43" i="5"/>
  <c r="Q52" i="2"/>
  <c r="N52" i="2"/>
  <c r="T52" i="2" s="1"/>
  <c r="Q54" i="2" l="1"/>
  <c r="V54" i="2" s="1"/>
  <c r="N45" i="5"/>
  <c r="N56" i="2"/>
  <c r="T56" i="2" s="1"/>
  <c r="Y56" i="2" s="1"/>
  <c r="Z56" i="2" s="1"/>
  <c r="Q43" i="5" s="1"/>
  <c r="S43" i="5" s="1"/>
  <c r="Q56" i="2"/>
  <c r="Y54" i="2"/>
  <c r="Z54" i="2" s="1"/>
  <c r="Q41" i="5" s="1"/>
  <c r="S41" i="5" s="1"/>
  <c r="V52" i="2"/>
  <c r="Y52" i="2" s="1"/>
  <c r="Z52" i="2" s="1"/>
  <c r="Q39" i="5" s="1"/>
  <c r="S39" i="5" s="1"/>
  <c r="T39" i="5" s="1"/>
  <c r="AE39" i="5" s="1"/>
  <c r="N47" i="5" l="1"/>
  <c r="N58" i="2"/>
  <c r="T58" i="2" s="1"/>
  <c r="Y58" i="2" s="1"/>
  <c r="Z58" i="2" s="1"/>
  <c r="Q45" i="5" s="1"/>
  <c r="S45" i="5" s="1"/>
  <c r="Q58" i="2"/>
  <c r="V56" i="2"/>
  <c r="T43" i="5"/>
  <c r="V43" i="5"/>
  <c r="U43" i="5" s="1"/>
  <c r="V41" i="5"/>
  <c r="U41" i="5" s="1"/>
  <c r="T41" i="5"/>
  <c r="V39" i="5"/>
  <c r="U39" i="5" s="1"/>
  <c r="V20" i="11"/>
  <c r="G23" i="11" s="1"/>
  <c r="N60" i="2" l="1"/>
  <c r="T60" i="2" s="1"/>
  <c r="Y60" i="2" s="1"/>
  <c r="Z60" i="2" s="1"/>
  <c r="Q47" i="5" s="1"/>
  <c r="S47" i="5" s="1"/>
  <c r="Q60" i="2"/>
  <c r="V58" i="2"/>
  <c r="T45" i="5"/>
  <c r="V45" i="5"/>
  <c r="U45" i="5" s="1"/>
  <c r="G19" i="11"/>
  <c r="X20" i="11"/>
  <c r="X22" i="11" s="1"/>
  <c r="V60" i="2" l="1"/>
  <c r="T47" i="5"/>
  <c r="V47" i="5"/>
  <c r="U47" i="5" s="1"/>
  <c r="Z22" i="11"/>
  <c r="Z19" i="11" s="1"/>
  <c r="AB19" i="11" s="1"/>
  <c r="E21" i="11"/>
  <c r="V22" i="11"/>
  <c r="X19" i="11"/>
  <c r="E19" i="11" s="1"/>
  <c r="E20" i="11"/>
  <c r="E23" i="11" l="1"/>
  <c r="G21" i="11" s="1"/>
  <c r="G24" i="11" s="1"/>
  <c r="AB22" i="11"/>
  <c r="V19" i="11"/>
  <c r="Z25" i="11"/>
  <c r="E36" i="11"/>
  <c r="E38" i="11" s="1"/>
  <c r="G36" i="11" s="1"/>
  <c r="G39" i="11" s="1"/>
  <c r="AE27" i="11"/>
  <c r="E34" i="11" l="1"/>
  <c r="G34" i="11" s="1"/>
  <c r="AG27" i="11"/>
  <c r="N38" i="5" l="1"/>
  <c r="N51" i="2" l="1"/>
  <c r="T51" i="2" s="1"/>
  <c r="N40" i="5"/>
  <c r="Q51" i="2"/>
  <c r="N42" i="5" l="1"/>
  <c r="N53" i="2"/>
  <c r="T53" i="2" s="1"/>
  <c r="V51" i="2"/>
  <c r="Y51" i="2" s="1"/>
  <c r="Z51" i="2" s="1"/>
  <c r="Q38" i="5" s="1"/>
  <c r="S38" i="5" s="1"/>
  <c r="Q53" i="2"/>
  <c r="N44" i="5" l="1"/>
  <c r="N57" i="2" s="1"/>
  <c r="T57" i="2" s="1"/>
  <c r="Y57" i="2" s="1"/>
  <c r="Z57" i="2" s="1"/>
  <c r="Q44" i="5" s="1"/>
  <c r="S44" i="5" s="1"/>
  <c r="N55" i="2"/>
  <c r="T55" i="2" s="1"/>
  <c r="Y55" i="2" s="1"/>
  <c r="Z55" i="2" s="1"/>
  <c r="Q42" i="5" s="1"/>
  <c r="S42" i="5" s="1"/>
  <c r="V53" i="2"/>
  <c r="Y53" i="2" s="1"/>
  <c r="Z53" i="2" s="1"/>
  <c r="Q40" i="5" s="1"/>
  <c r="S40" i="5" s="1"/>
  <c r="O49" i="2"/>
  <c r="V38" i="5"/>
  <c r="U38" i="5" s="1"/>
  <c r="T38" i="5"/>
  <c r="AF39" i="5" s="1"/>
  <c r="Q55" i="2"/>
  <c r="V44" i="5" l="1"/>
  <c r="U44" i="5" s="1"/>
  <c r="T44" i="5"/>
  <c r="T42" i="5"/>
  <c r="V42" i="5"/>
  <c r="U42" i="5" s="1"/>
  <c r="V55" i="2"/>
  <c r="T40" i="5"/>
  <c r="V40" i="5"/>
  <c r="U40" i="5" s="1"/>
  <c r="D8" i="8"/>
  <c r="F8" i="9" s="1"/>
  <c r="AC17" i="11"/>
  <c r="AS58" i="5"/>
  <c r="N46" i="5"/>
  <c r="Q57" i="2"/>
  <c r="V57" i="2" s="1"/>
  <c r="Q59" i="2" l="1"/>
  <c r="N59" i="2"/>
  <c r="T59" i="2" s="1"/>
  <c r="Y59" i="2" s="1"/>
  <c r="Z59" i="2" s="1"/>
  <c r="Q46" i="5" s="1"/>
  <c r="S46" i="5" s="1"/>
  <c r="E17" i="9"/>
  <c r="O55" i="9" s="1"/>
  <c r="E16" i="9"/>
  <c r="F64" i="9" s="1"/>
  <c r="E19" i="9"/>
  <c r="E18" i="9"/>
  <c r="F60" i="9" s="1"/>
  <c r="E68" i="9"/>
  <c r="E64" i="9"/>
  <c r="O64" i="9" s="1"/>
  <c r="E66" i="9"/>
  <c r="E70" i="9"/>
  <c r="F58" i="9"/>
  <c r="E58" i="9"/>
  <c r="E56" i="9"/>
  <c r="O56" i="9" s="1"/>
  <c r="E60" i="9"/>
  <c r="O60" i="9" s="1"/>
  <c r="E62" i="9"/>
  <c r="V46" i="5" l="1"/>
  <c r="T46" i="5"/>
  <c r="T48" i="5" s="1"/>
  <c r="B49" i="5" s="1"/>
  <c r="S48" i="5"/>
  <c r="X48" i="5" s="1"/>
  <c r="X58" i="5" s="1"/>
  <c r="V59" i="2"/>
  <c r="O58" i="9"/>
  <c r="W46" i="10"/>
  <c r="W45" i="10"/>
  <c r="W51" i="10" s="1"/>
  <c r="X51" i="10" s="1"/>
  <c r="W57" i="10" s="1"/>
  <c r="L64" i="9"/>
  <c r="M30" i="8"/>
  <c r="F66" i="9"/>
  <c r="R66" i="9" s="1"/>
  <c r="M55" i="9"/>
  <c r="F56" i="9"/>
  <c r="R56" i="9" s="1"/>
  <c r="F68" i="9"/>
  <c r="M68" i="9" s="1"/>
  <c r="W55" i="10"/>
  <c r="W61" i="10"/>
  <c r="M32" i="8"/>
  <c r="K64" i="9"/>
  <c r="P64" i="9"/>
  <c r="M31" i="8"/>
  <c r="Q28" i="8"/>
  <c r="M28" i="8"/>
  <c r="M26" i="8"/>
  <c r="R60" i="9"/>
  <c r="M60" i="9"/>
  <c r="K60" i="9" s="1"/>
  <c r="O28" i="8" s="1"/>
  <c r="Q64" i="9"/>
  <c r="Q56" i="9"/>
  <c r="Q70" i="9"/>
  <c r="M58" i="9"/>
  <c r="R58" i="9"/>
  <c r="Q60" i="9"/>
  <c r="Q66" i="9"/>
  <c r="Q68" i="9"/>
  <c r="Q62" i="9"/>
  <c r="Q58" i="9"/>
  <c r="M27" i="8"/>
  <c r="M29" i="8"/>
  <c r="F70" i="9"/>
  <c r="F62" i="9"/>
  <c r="O62" i="9" s="1"/>
  <c r="R64" i="9"/>
  <c r="M64" i="9"/>
  <c r="T58" i="5" l="1"/>
  <c r="E58" i="5" s="1"/>
  <c r="AV67" i="5" s="1"/>
  <c r="P48" i="5"/>
  <c r="O48" i="5" s="1"/>
  <c r="U46" i="5"/>
  <c r="U48" i="5" s="1"/>
  <c r="U58" i="5" s="1"/>
  <c r="V48" i="5"/>
  <c r="W66" i="10"/>
  <c r="V77" i="10" s="1"/>
  <c r="W64" i="10"/>
  <c r="V75" i="10" s="1"/>
  <c r="W65" i="10"/>
  <c r="V76" i="10" s="1"/>
  <c r="W67" i="10"/>
  <c r="V78" i="10" s="1"/>
  <c r="W59" i="10"/>
  <c r="W53" i="10"/>
  <c r="X53" i="10" s="1"/>
  <c r="W60" i="10"/>
  <c r="W54" i="10"/>
  <c r="V72" i="10" s="1"/>
  <c r="W56" i="10"/>
  <c r="X56" i="10" s="1"/>
  <c r="V74" i="10" s="1"/>
  <c r="W62" i="10"/>
  <c r="W58" i="10"/>
  <c r="R68" i="9"/>
  <c r="N68" i="9" s="1"/>
  <c r="Q26" i="8"/>
  <c r="M66" i="9"/>
  <c r="N66" i="9" s="1"/>
  <c r="M56" i="9"/>
  <c r="N56" i="9" s="1"/>
  <c r="X64" i="10"/>
  <c r="X55" i="10"/>
  <c r="V73" i="10" s="1"/>
  <c r="Q27" i="8"/>
  <c r="N64" i="9"/>
  <c r="N60" i="9"/>
  <c r="N58" i="9"/>
  <c r="K58" i="9"/>
  <c r="O27" i="8" s="1"/>
  <c r="R62" i="9"/>
  <c r="Q29" i="8" s="1"/>
  <c r="M62" i="9"/>
  <c r="R70" i="9"/>
  <c r="M70" i="9"/>
  <c r="K68" i="9"/>
  <c r="O31" i="8" s="1"/>
  <c r="N34" i="8"/>
  <c r="AS52" i="5" l="1"/>
  <c r="AT52" i="5" s="1"/>
  <c r="Z48" i="5"/>
  <c r="V58" i="5"/>
  <c r="S58" i="5" s="1"/>
  <c r="C9" i="4" s="1"/>
  <c r="G50" i="5" s="1"/>
  <c r="A52" i="5" s="1"/>
  <c r="X49" i="5"/>
  <c r="AV70" i="5"/>
  <c r="E59" i="5"/>
  <c r="G59" i="5" s="1"/>
  <c r="X66" i="10"/>
  <c r="X54" i="10"/>
  <c r="Y54" i="10" s="1"/>
  <c r="X61" i="10" s="1"/>
  <c r="V80" i="10"/>
  <c r="D17" i="10" s="1"/>
  <c r="K66" i="9"/>
  <c r="O30" i="8" s="1"/>
  <c r="L68" i="9"/>
  <c r="P31" i="8" s="1"/>
  <c r="P68" i="9"/>
  <c r="N70" i="9"/>
  <c r="L70" i="9" s="1"/>
  <c r="K62" i="9"/>
  <c r="O29" i="8" s="1"/>
  <c r="N62" i="9"/>
  <c r="L62" i="9" s="1"/>
  <c r="K70" i="9"/>
  <c r="O32" i="8" s="1"/>
  <c r="P60" i="9"/>
  <c r="R28" i="8" s="1"/>
  <c r="L60" i="9"/>
  <c r="P28" i="8" s="1"/>
  <c r="L56" i="9"/>
  <c r="P26" i="8" s="1"/>
  <c r="K56" i="9"/>
  <c r="O26" i="8" s="1"/>
  <c r="P56" i="9"/>
  <c r="R26" i="8" s="1"/>
  <c r="X68" i="10"/>
  <c r="L66" i="9"/>
  <c r="P30" i="8" s="1"/>
  <c r="P66" i="9"/>
  <c r="P58" i="9"/>
  <c r="R27" i="8" s="1"/>
  <c r="L58" i="9"/>
  <c r="P27" i="8" s="1"/>
  <c r="R58" i="5" l="1"/>
  <c r="Q5" i="4"/>
  <c r="S15" i="4" s="1"/>
  <c r="N49" i="2"/>
  <c r="N48" i="2" s="1"/>
  <c r="V59" i="5"/>
  <c r="N61" i="5"/>
  <c r="O61" i="5" s="1"/>
  <c r="N59" i="5"/>
  <c r="T59" i="5"/>
  <c r="E57" i="5"/>
  <c r="P58" i="5"/>
  <c r="AT69" i="5"/>
  <c r="X59" i="5"/>
  <c r="G57" i="5" s="1"/>
  <c r="G72" i="5" s="1"/>
  <c r="AR69" i="5"/>
  <c r="X69" i="10"/>
  <c r="D16" i="10" s="1"/>
  <c r="E16" i="10" s="1"/>
  <c r="R30" i="8"/>
  <c r="O66" i="9"/>
  <c r="Q30" i="8" s="1"/>
  <c r="R31" i="8"/>
  <c r="O68" i="9"/>
  <c r="Q31" i="8" s="1"/>
  <c r="P32" i="8"/>
  <c r="P70" i="9"/>
  <c r="P29" i="8"/>
  <c r="P62" i="9"/>
  <c r="R29" i="8" s="1"/>
  <c r="U59" i="5" l="1"/>
  <c r="U60" i="5" s="1"/>
  <c r="H79" i="5"/>
  <c r="AO51" i="5"/>
  <c r="O6" i="4"/>
  <c r="E60" i="5"/>
  <c r="AO53" i="5"/>
  <c r="AP53" i="5" s="1"/>
  <c r="G60" i="5"/>
  <c r="V60" i="5"/>
  <c r="AV69" i="5"/>
  <c r="E56" i="5"/>
  <c r="AC49" i="5"/>
  <c r="AC50" i="5" s="1"/>
  <c r="R32" i="8"/>
  <c r="U30" i="8" s="1"/>
  <c r="O70" i="9"/>
  <c r="Q32" i="8" s="1"/>
  <c r="D27" i="8" s="1"/>
  <c r="E27" i="8" s="1"/>
  <c r="G58" i="5" l="1"/>
  <c r="G61" i="5" s="1"/>
  <c r="AT67" i="5"/>
  <c r="V61" i="5"/>
  <c r="V63" i="5" s="1"/>
  <c r="H80" i="5"/>
  <c r="AO54" i="5" s="1"/>
  <c r="A64" i="5"/>
  <c r="AD50" i="5"/>
  <c r="G56" i="5"/>
  <c r="AC21" i="5"/>
  <c r="A54" i="5" s="1"/>
  <c r="D28" i="8"/>
  <c r="C28" i="8" s="1"/>
  <c r="C31" i="8" s="1"/>
  <c r="D31" i="8" s="1"/>
  <c r="F31" i="8" s="1"/>
  <c r="C27" i="8"/>
  <c r="AO62" i="5" l="1"/>
  <c r="AO63" i="5" s="1"/>
  <c r="AO64" i="5"/>
  <c r="C30" i="8"/>
  <c r="D30" i="8" s="1"/>
  <c r="F27" i="8"/>
  <c r="E95" i="9"/>
  <c r="E94" i="9"/>
  <c r="E28" i="8"/>
  <c r="E31" i="8"/>
  <c r="AO65" i="5" l="1"/>
  <c r="AP56" i="5"/>
  <c r="AP54" i="5"/>
  <c r="E30" i="8"/>
  <c r="F30" i="8" s="1"/>
  <c r="F28" i="8"/>
  <c r="E98" i="9"/>
  <c r="E97" i="9"/>
  <c r="AO70" i="5" l="1"/>
  <c r="AM65" i="5" s="1"/>
  <c r="AO71" i="5" l="1"/>
  <c r="AP71" i="5" s="1"/>
  <c r="AO66" i="5"/>
  <c r="AO67" i="5" s="1"/>
  <c r="AQ64" i="5"/>
  <c r="AS64" i="5" s="1"/>
  <c r="AR61" i="5" s="1"/>
  <c r="AT71" i="5" l="1"/>
  <c r="E74" i="5"/>
  <c r="G74" i="5" s="1"/>
  <c r="AO68" i="5"/>
  <c r="G75" i="5" s="1"/>
  <c r="C80" i="5" s="1"/>
  <c r="AV72" i="5"/>
  <c r="AS61" i="5"/>
  <c r="AT68" i="5" l="1"/>
  <c r="AW51" i="5"/>
  <c r="AP51" i="5"/>
  <c r="E72" i="5"/>
  <c r="AS51" i="5"/>
  <c r="AT51" i="5" s="1"/>
  <c r="AO52" i="5" s="1"/>
  <c r="AQ52" i="5" s="1"/>
  <c r="T60" i="5" l="1"/>
  <c r="AO58" i="5"/>
  <c r="AU58" i="5"/>
  <c r="AS62" i="5"/>
  <c r="AX59" i="5" l="1"/>
  <c r="G63" i="5"/>
  <c r="AO59" i="5"/>
  <c r="G65" i="5" s="1"/>
  <c r="AY59" i="5"/>
  <c r="AU62" i="5"/>
  <c r="AV71" i="5"/>
  <c r="E71" i="5" s="1"/>
  <c r="G71" i="5" s="1"/>
  <c r="E73" i="5"/>
  <c r="E75" i="5" s="1"/>
  <c r="C82" i="5" l="1"/>
  <c r="C79" i="5"/>
  <c r="G73" i="5"/>
  <c r="G76" i="5" s="1"/>
  <c r="P81" i="5"/>
  <c r="P8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mpl649</author>
  </authors>
  <commentList>
    <comment ref="J40" authorId="0" shapeId="0" xr:uid="{00000000-0006-0000-0400-000001000000}">
      <text>
        <r>
          <rPr>
            <b/>
            <sz val="8"/>
            <color indexed="81"/>
            <rFont val="Tahoma"/>
            <family val="2"/>
          </rPr>
          <t>mpl649:</t>
        </r>
        <r>
          <rPr>
            <sz val="8"/>
            <color indexed="81"/>
            <rFont val="Tahoma"/>
            <family val="2"/>
          </rPr>
          <t xml:space="preserve">
The voltage of connection for the AccuSine system is the voltage listed here. 
Default is 480 VAC.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mpl649</author>
  </authors>
  <commentList>
    <comment ref="E11" authorId="0" shapeId="0" xr:uid="{00000000-0006-0000-0500-000001000000}">
      <text>
        <r>
          <rPr>
            <b/>
            <sz val="8"/>
            <color indexed="81"/>
            <rFont val="Tahoma"/>
            <family val="2"/>
          </rPr>
          <t>mpl649:</t>
        </r>
        <r>
          <rPr>
            <sz val="8"/>
            <color indexed="81"/>
            <rFont val="Tahoma"/>
            <family val="2"/>
          </rPr>
          <t xml:space="preserve">
Select the PCC that corresponds to one of the levels defined on 'Electrical System 1-line' worksheet.</t>
        </r>
      </text>
    </comment>
    <comment ref="F13" authorId="0" shapeId="0" xr:uid="{00000000-0006-0000-0500-000002000000}">
      <text>
        <r>
          <rPr>
            <b/>
            <sz val="8"/>
            <color indexed="81"/>
            <rFont val="Tahoma"/>
            <family val="2"/>
          </rPr>
          <t>mpl649:</t>
        </r>
        <r>
          <rPr>
            <sz val="8"/>
            <color indexed="81"/>
            <rFont val="Tahoma"/>
            <family val="2"/>
          </rPr>
          <t xml:space="preserve">
Select one if compliance to a standard is required.
If none apply, select 'Harmonic Mitigation' mode and enter a value for 'TDD Required' below.</t>
        </r>
      </text>
    </comment>
    <comment ref="E25" authorId="0" shapeId="0" xr:uid="{00000000-0006-0000-0500-000003000000}">
      <text>
        <r>
          <rPr>
            <b/>
            <sz val="8"/>
            <color indexed="81"/>
            <rFont val="Tahoma"/>
            <family val="2"/>
          </rPr>
          <t>mpl649:</t>
        </r>
        <r>
          <rPr>
            <sz val="8"/>
            <color indexed="81"/>
            <rFont val="Tahoma"/>
            <family val="2"/>
          </rPr>
          <t xml:space="preserve">
Select the nonlinear load type from the drop down menu.
</t>
        </r>
      </text>
    </comment>
    <comment ref="G25" authorId="0" shapeId="0" xr:uid="{00000000-0006-0000-0500-000004000000}">
      <text>
        <r>
          <rPr>
            <b/>
            <sz val="8"/>
            <color indexed="81"/>
            <rFont val="Tahoma"/>
            <family val="2"/>
          </rPr>
          <t>mpl649:</t>
        </r>
        <r>
          <rPr>
            <sz val="8"/>
            <color indexed="81"/>
            <rFont val="Tahoma"/>
            <family val="2"/>
          </rPr>
          <t xml:space="preserve">
Select the number of pulses for each load from the drop down menu.
</t>
        </r>
      </text>
    </comment>
    <comment ref="H25" authorId="0" shapeId="0" xr:uid="{00000000-0006-0000-0500-000005000000}">
      <text>
        <r>
          <rPr>
            <b/>
            <sz val="8"/>
            <color indexed="81"/>
            <rFont val="Tahoma"/>
            <family val="2"/>
          </rPr>
          <t xml:space="preserve">mpl649:
</t>
        </r>
        <r>
          <rPr>
            <sz val="8"/>
            <color indexed="81"/>
            <rFont val="Tahoma"/>
            <family val="2"/>
          </rPr>
          <t>For PWM VFD enter known impedance of DC Bus Choke or Input Line Reactor or sum of both if present. 
PWM VFD 'Default' is the standard SE ATV 61/71 unit impedance according to size entered.
Make no entry when 12-p or 18-p is selected.
For all other types of loads, enter the impedance of input line reactors, if present.</t>
        </r>
      </text>
    </comment>
    <comment ref="I25" authorId="0" shapeId="0" xr:uid="{00000000-0006-0000-0500-000006000000}">
      <text>
        <r>
          <rPr>
            <b/>
            <sz val="8"/>
            <color indexed="81"/>
            <rFont val="Tahoma"/>
            <family val="2"/>
          </rPr>
          <t>mpl649:</t>
        </r>
        <r>
          <rPr>
            <sz val="8"/>
            <color indexed="81"/>
            <rFont val="Tahoma"/>
            <family val="2"/>
          </rPr>
          <t xml:space="preserve">
Enter the maximum level of capacity utilized  for the application.
For PWM VFD LOADS:
1. For centrifugal pumps and fans, a conservative value is 80%.
2. For constant torque loads, 100% is most likely.
Default is 100%.</t>
        </r>
      </text>
    </comment>
    <comment ref="J25" authorId="0" shapeId="0" xr:uid="{00000000-0006-0000-0500-000007000000}">
      <text>
        <r>
          <rPr>
            <b/>
            <sz val="8"/>
            <color indexed="81"/>
            <rFont val="Tahoma"/>
            <family val="2"/>
          </rPr>
          <t>mpl649:</t>
        </r>
        <r>
          <rPr>
            <sz val="8"/>
            <color indexed="81"/>
            <rFont val="Tahoma"/>
            <family val="2"/>
          </rPr>
          <t xml:space="preserve">
Default DPF for diode reactifiers is 0.95 and for AFE rectifers is 0.99.
For Thyristor rectifiers enter design DPF at full load.
If in doubt leave it blank - default is 0.95.
</t>
        </r>
      </text>
    </comment>
    <comment ref="E39" authorId="0" shapeId="0" xr:uid="{00000000-0006-0000-0500-000008000000}">
      <text>
        <r>
          <rPr>
            <b/>
            <sz val="8"/>
            <color indexed="81"/>
            <rFont val="Tahoma"/>
            <family val="2"/>
          </rPr>
          <t>mpl649:</t>
        </r>
        <r>
          <rPr>
            <sz val="8"/>
            <color indexed="81"/>
            <rFont val="Tahoma"/>
            <family val="2"/>
          </rPr>
          <t xml:space="preserve">
Enter power factor as 0.xx.  
Entry cannot be greater than 1.</t>
        </r>
      </text>
    </comment>
    <comment ref="F39" authorId="0" shapeId="0" xr:uid="{00000000-0006-0000-0500-000009000000}">
      <text>
        <r>
          <rPr>
            <b/>
            <sz val="8"/>
            <color indexed="81"/>
            <rFont val="Tahoma"/>
            <family val="2"/>
          </rPr>
          <t>mpl649:</t>
        </r>
        <r>
          <rPr>
            <sz val="8"/>
            <color indexed="81"/>
            <rFont val="Tahoma"/>
            <family val="2"/>
          </rPr>
          <t xml:space="preserve">
Enter the maximum level of capacity utilized for each application.</t>
        </r>
      </text>
    </comment>
    <comment ref="G65" authorId="0" shapeId="0" xr:uid="{00000000-0006-0000-0500-00000A000000}">
      <text>
        <r>
          <rPr>
            <b/>
            <sz val="8"/>
            <color indexed="81"/>
            <rFont val="Tahoma"/>
            <family val="2"/>
          </rPr>
          <t>mpl649:</t>
        </r>
        <r>
          <rPr>
            <sz val="8"/>
            <color indexed="81"/>
            <rFont val="Tahoma"/>
            <family val="2"/>
          </rPr>
          <t xml:space="preserve">
When a transformer is used to affix AccuSine to a voltage higher than 690 VAC design, the required AccuSine system rating is increased by the transformer voltage ratio.</t>
        </r>
      </text>
    </comment>
    <comment ref="G67" authorId="0" shapeId="0" xr:uid="{00000000-0006-0000-0500-00000B000000}">
      <text>
        <r>
          <rPr>
            <b/>
            <sz val="8"/>
            <color indexed="81"/>
            <rFont val="Tahoma"/>
            <family val="2"/>
          </rPr>
          <t>mpl649:</t>
        </r>
        <r>
          <rPr>
            <sz val="8"/>
            <color indexed="81"/>
            <rFont val="Tahoma"/>
            <family val="2"/>
          </rPr>
          <t xml:space="preserve">
Enter the next higher integer greater than the calculated value shown above in "AccuSine rating required @ unit base voltage" (blue cell directly above) to obtain optimized results.
Any value can be entered if so desired.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mpl649</author>
  </authors>
  <commentList>
    <comment ref="G28" authorId="0" shapeId="0" xr:uid="{00000000-0006-0000-0600-000001000000}">
      <text>
        <r>
          <rPr>
            <b/>
            <sz val="8"/>
            <color indexed="81"/>
            <rFont val="Tahoma"/>
            <family val="2"/>
          </rPr>
          <t>mpl649:</t>
        </r>
        <r>
          <rPr>
            <sz val="8"/>
            <color indexed="81"/>
            <rFont val="Tahoma"/>
            <family val="2"/>
          </rPr>
          <t xml:space="preserve">
When a transformer is used to affix AccuSine to a voltage higher than 690 VAC design, the required AccuSine system rating is increased by the transformer voltage ratio.</t>
        </r>
      </text>
    </comment>
    <comment ref="G30" authorId="0" shapeId="0" xr:uid="{00000000-0006-0000-0600-000002000000}">
      <text>
        <r>
          <rPr>
            <b/>
            <sz val="8"/>
            <color indexed="81"/>
            <rFont val="Tahoma"/>
            <family val="2"/>
          </rPr>
          <t>mpl649:</t>
        </r>
        <r>
          <rPr>
            <sz val="8"/>
            <color indexed="81"/>
            <rFont val="Tahoma"/>
            <family val="2"/>
          </rPr>
          <t xml:space="preserve">
Enter the next higher integer greater than the calculated value shown above in "AccuSine rating required @ unit base voltage" (blue cell directly above) to obtain optimized results.
Any value can be entered if so desired.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mpl649</author>
  </authors>
  <commentList>
    <comment ref="D12" authorId="0" shapeId="0" xr:uid="{00000000-0006-0000-0700-000001000000}">
      <text>
        <r>
          <rPr>
            <b/>
            <sz val="8"/>
            <color indexed="81"/>
            <rFont val="Tahoma"/>
            <family val="2"/>
          </rPr>
          <t>mpl649:</t>
        </r>
        <r>
          <rPr>
            <sz val="8"/>
            <color indexed="81"/>
            <rFont val="Tahoma"/>
            <family val="2"/>
          </rPr>
          <t xml:space="preserve">
Enter altitude if 1000 meters is exceeded.
</t>
        </r>
      </text>
    </comment>
    <comment ref="D13" authorId="0" shapeId="0" xr:uid="{00000000-0006-0000-0700-000002000000}">
      <text>
        <r>
          <rPr>
            <b/>
            <sz val="8"/>
            <color indexed="81"/>
            <rFont val="Tahoma"/>
            <family val="2"/>
          </rPr>
          <t>mpl649:</t>
        </r>
        <r>
          <rPr>
            <sz val="8"/>
            <color indexed="81"/>
            <rFont val="Tahoma"/>
            <family val="2"/>
          </rPr>
          <t xml:space="preserve">
Enter temperature if 40 degrees C is exceeded.
50 degrees C is maximum possible ambient temperature.
</t>
        </r>
      </text>
    </comment>
  </commentList>
</comments>
</file>

<file path=xl/sharedStrings.xml><?xml version="1.0" encoding="utf-8"?>
<sst xmlns="http://schemas.openxmlformats.org/spreadsheetml/2006/main" count="1999" uniqueCount="1056">
  <si>
    <t>Selection adjustment factor according to installed impedance:</t>
  </si>
  <si>
    <t>System Short Circuit Ratio (ShCR) @ selected PCC:</t>
  </si>
  <si>
    <t>There is no installed inductance (Z).  Therefore, compliance to any standard cannot be achieved!</t>
  </si>
  <si>
    <t>Req'd AccuSine at 480V</t>
  </si>
  <si>
    <t>ShCR = 20</t>
  </si>
  <si>
    <t>ShCR = 50</t>
  </si>
  <si>
    <t>ShCR = 100</t>
  </si>
  <si>
    <t>ShCR = 150</t>
  </si>
  <si>
    <t>ShCR = 250</t>
  </si>
  <si>
    <t>ShCR = 500</t>
  </si>
  <si>
    <t>ShCR = 1000</t>
  </si>
  <si>
    <t>ShCR = 2500</t>
  </si>
  <si>
    <t>Installed Impedance (%Z)</t>
  </si>
  <si>
    <t>2010 AccuSine Selection Research</t>
  </si>
  <si>
    <t>HarmCalc for specific VFD and VFD combinations</t>
  </si>
  <si>
    <t>5HP ATV61</t>
  </si>
  <si>
    <t>SCR =</t>
  </si>
  <si>
    <t>Installed Z%</t>
  </si>
  <si>
    <t>TDD</t>
  </si>
  <si>
    <t>10HP ATV61</t>
  </si>
  <si>
    <t>30HP  ATV61</t>
  </si>
  <si>
    <t>60HP ATV 61</t>
  </si>
  <si>
    <t>100HP ATV 61</t>
  </si>
  <si>
    <t>250HP ATV61</t>
  </si>
  <si>
    <t>400HP ATV61</t>
  </si>
  <si>
    <t>700HP ATV61</t>
  </si>
  <si>
    <t>AVERAGES</t>
  </si>
  <si>
    <t>SCR = 2500</t>
  </si>
  <si>
    <t>SCR = 250</t>
  </si>
  <si>
    <t>SCR = 150</t>
  </si>
  <si>
    <t>SCR = 100</t>
  </si>
  <si>
    <t>SCR = 50</t>
  </si>
  <si>
    <t>SCR = 20</t>
  </si>
  <si>
    <t>SCR = 1000</t>
  </si>
  <si>
    <t>SCR = 500</t>
  </si>
  <si>
    <t xml:space="preserve"> </t>
  </si>
  <si>
    <t>According to HarmCalc</t>
  </si>
  <si>
    <t>Drive HP</t>
  </si>
  <si>
    <t>Z%</t>
  </si>
  <si>
    <t>weighted Z%</t>
  </si>
  <si>
    <t>1x20+1x25</t>
  </si>
  <si>
    <t>SCR</t>
  </si>
  <si>
    <t>HarmCalc</t>
  </si>
  <si>
    <t>Weighted avg of each</t>
  </si>
  <si>
    <t>1x100+1x400</t>
  </si>
  <si>
    <t>2x75+1x500</t>
  </si>
  <si>
    <t>Apply AccuSine selection mulitplier according to equivalent impedance of loads installed.</t>
  </si>
  <si>
    <t>Short Circuit Ratio</t>
  </si>
  <si>
    <t>Other types of Converters</t>
  </si>
  <si>
    <t>VVI VFD</t>
  </si>
  <si>
    <t>DC Drives</t>
  </si>
  <si>
    <t>UPS diode</t>
  </si>
  <si>
    <t>UPS SCR</t>
  </si>
  <si>
    <t>UPS IGBT</t>
  </si>
  <si>
    <t>AFE VFD</t>
  </si>
  <si>
    <t>SCR inductive</t>
  </si>
  <si>
    <t>SCR resistive</t>
  </si>
  <si>
    <t>SCR capacitive</t>
  </si>
  <si>
    <t>n/a</t>
  </si>
  <si>
    <t>Equivalent Z%</t>
  </si>
  <si>
    <t>Converter type</t>
  </si>
  <si>
    <t>UV Ballast - Normal</t>
  </si>
  <si>
    <t>UV Ballast - Premium</t>
  </si>
  <si>
    <t>Ozone Generator</t>
  </si>
  <si>
    <t>SCR type with 3% line reactor</t>
  </si>
  <si>
    <t>Transformer input</t>
  </si>
  <si>
    <t>Notes:</t>
  </si>
  <si>
    <t>Best Practice: use =&gt; 3% line reactors</t>
  </si>
  <si>
    <t>VFD: lower TDD</t>
  </si>
  <si>
    <t>SCR: Smooth voltage notch</t>
  </si>
  <si>
    <t>Best performance</t>
  </si>
  <si>
    <t>Smallest size AHF</t>
  </si>
  <si>
    <t>If VFD has no impedance = can't perdict TDD levels (AHF turns off harmonic orders to keep AHF on line)</t>
  </si>
  <si>
    <t>Item</t>
  </si>
  <si>
    <t>Voltage</t>
  </si>
  <si>
    <t>KVA</t>
  </si>
  <si>
    <t>voltage</t>
  </si>
  <si>
    <t>Multiplier</t>
  </si>
  <si>
    <t>% Impedance</t>
  </si>
  <si>
    <t>PWM VFD (Defaults)</t>
  </si>
  <si>
    <t>Ifund</t>
  </si>
  <si>
    <t>Iharm</t>
  </si>
  <si>
    <t>Measure</t>
  </si>
  <si>
    <t>KW</t>
  </si>
  <si>
    <t>HP</t>
  </si>
  <si>
    <t>Equipment</t>
  </si>
  <si>
    <t>PWM VFD</t>
  </si>
  <si>
    <t>DC drive</t>
  </si>
  <si>
    <t>DC power supply - Inductive</t>
  </si>
  <si>
    <t>DC power supply - Resistive</t>
  </si>
  <si>
    <t>UPS w/Diode rectifier</t>
  </si>
  <si>
    <t>UPS w/SCR rectifier</t>
  </si>
  <si>
    <t>UPS w/AFE rectifier</t>
  </si>
  <si>
    <t>VSI VFD</t>
  </si>
  <si>
    <t>UV power supply</t>
  </si>
  <si>
    <t>I reactive</t>
  </si>
  <si>
    <t>% TDD</t>
  </si>
  <si>
    <t>%</t>
  </si>
  <si>
    <t>not possible to predict discontinued orders</t>
  </si>
  <si>
    <t>Some high orders will be discontinued</t>
  </si>
  <si>
    <t>Assume DC bus has 3% Z for harmonic current;  if no LR installed notches will be large for THDv</t>
  </si>
  <si>
    <t>Electronic lighting ballasts - std</t>
  </si>
  <si>
    <t>Electronic lighting ballasts - Premium</t>
  </si>
  <si>
    <t xml:space="preserve">  </t>
  </si>
  <si>
    <t>Type of Equipment</t>
  </si>
  <si>
    <t>Installed Impedance</t>
  </si>
  <si>
    <t>Quantity</t>
  </si>
  <si>
    <t>Utility</t>
  </si>
  <si>
    <t>Generator</t>
  </si>
  <si>
    <t>Distribution Transformer</t>
  </si>
  <si>
    <t>Secondary Voltage</t>
  </si>
  <si>
    <t>PCC</t>
  </si>
  <si>
    <t>Distribution Transformer - Secondary</t>
  </si>
  <si>
    <t>Standard Applied</t>
  </si>
  <si>
    <t>IEEE 519-1992</t>
  </si>
  <si>
    <t>none</t>
  </si>
  <si>
    <t>default</t>
  </si>
  <si>
    <t>Size</t>
  </si>
  <si>
    <t>Maximum Capacity Utilized</t>
  </si>
  <si>
    <t>Power Factor Correction:</t>
  </si>
  <si>
    <t>Equivalent installed impedance:</t>
  </si>
  <si>
    <t>Equipment list for NONLINEAR LOADS</t>
  </si>
  <si>
    <t>Rated Full Load PF (Nameplate)</t>
  </si>
  <si>
    <t>Harmonic Mitigation:</t>
  </si>
  <si>
    <t>(optional)</t>
  </si>
  <si>
    <t>Utility SCA</t>
  </si>
  <si>
    <t>Generator SCA</t>
  </si>
  <si>
    <t>Dist SCA</t>
  </si>
  <si>
    <t>Other SCA</t>
  </si>
  <si>
    <t>IEEE 519-1992 Table 10.3</t>
  </si>
  <si>
    <t>Isc/Iload</t>
  </si>
  <si>
    <t xml:space="preserve">TDD </t>
  </si>
  <si>
    <t>&lt; 20</t>
  </si>
  <si>
    <t>20&lt;50</t>
  </si>
  <si>
    <t>50&lt;100</t>
  </si>
  <si>
    <t>100&lt;1000</t>
  </si>
  <si>
    <t>&gt;1000</t>
  </si>
  <si>
    <t>GBT</t>
  </si>
  <si>
    <t>G5/4-1 @ 10 MVA</t>
  </si>
  <si>
    <t>TDD req'd</t>
  </si>
  <si>
    <t>SCA</t>
  </si>
  <si>
    <t>SC MVA</t>
  </si>
  <si>
    <t>Point of Common Coupling (PCC)</t>
  </si>
  <si>
    <t>Assume  THDi = 10%</t>
  </si>
  <si>
    <t>Assume THDi = 5%</t>
  </si>
  <si>
    <t>12-P</t>
  </si>
  <si>
    <t>!8-P</t>
  </si>
  <si>
    <t>TDD = 5%</t>
  </si>
  <si>
    <t>Equivalent Z calculation</t>
  </si>
  <si>
    <t>Qty</t>
  </si>
  <si>
    <t>Weighted AVG</t>
  </si>
  <si>
    <t>sumproduct qty/size</t>
  </si>
  <si>
    <t>Connection Voltage =</t>
  </si>
  <si>
    <t>I rms</t>
  </si>
  <si>
    <t>KVAfund</t>
  </si>
  <si>
    <t>%z</t>
  </si>
  <si>
    <t>Tot KVA fund</t>
  </si>
  <si>
    <t>:1</t>
  </si>
  <si>
    <t>Type of RMS Current</t>
  </si>
  <si>
    <t>Ireal</t>
  </si>
  <si>
    <t>Original System PF</t>
  </si>
  <si>
    <t>Objective PF</t>
  </si>
  <si>
    <t>Reactive current correction req'd</t>
  </si>
  <si>
    <t>Req'd AccuSine</t>
  </si>
  <si>
    <t>AccuSine voltage on sec xfo</t>
  </si>
  <si>
    <t>amps</t>
  </si>
  <si>
    <t>Applied rating</t>
  </si>
  <si>
    <t>Adjusted multiplier</t>
  </si>
  <si>
    <t>Total Currents - uncorrected</t>
  </si>
  <si>
    <t>Ireactive</t>
  </si>
  <si>
    <t>Kw</t>
  </si>
  <si>
    <t>Inductive</t>
  </si>
  <si>
    <t>resistive</t>
  </si>
  <si>
    <t>Capacitive</t>
  </si>
  <si>
    <t>Adj Harmonic current req'd</t>
  </si>
  <si>
    <t>Load Balancing req'd</t>
  </si>
  <si>
    <t>total SCR</t>
  </si>
  <si>
    <t>PCC SCA</t>
  </si>
  <si>
    <t>Equiv at connected V</t>
  </si>
  <si>
    <t>IEEE519-1992 req'd</t>
  </si>
  <si>
    <t>DPF</t>
  </si>
  <si>
    <t>Rated KVA</t>
  </si>
  <si>
    <t>Ikw</t>
  </si>
  <si>
    <t>All results are estimates.  Actual results may vary.</t>
  </si>
  <si>
    <t>@ voltage =</t>
  </si>
  <si>
    <t>12-p</t>
  </si>
  <si>
    <t>This selection attains</t>
  </si>
  <si>
    <t>When 'Load Balancing' is selected, an entry is required for "% mains current imbalance."</t>
  </si>
  <si>
    <t>a.</t>
  </si>
  <si>
    <t>b.</t>
  </si>
  <si>
    <t>c.</t>
  </si>
  <si>
    <t>d.</t>
  </si>
  <si>
    <t>e.</t>
  </si>
  <si>
    <t>Date:</t>
  </si>
  <si>
    <t>Customer Name:</t>
  </si>
  <si>
    <t>Project ID:</t>
  </si>
  <si>
    <t>Address:</t>
  </si>
  <si>
    <t>Prepared by:</t>
  </si>
  <si>
    <t>Rectifier pulses</t>
  </si>
  <si>
    <t>Project Name:</t>
  </si>
  <si>
    <t>Postal Code</t>
  </si>
  <si>
    <t>Kvar req'd</t>
  </si>
  <si>
    <t>remaining</t>
  </si>
  <si>
    <t>&lt;20</t>
  </si>
  <si>
    <t>&lt;50</t>
  </si>
  <si>
    <t>&lt;100</t>
  </si>
  <si>
    <t>&lt;1000</t>
  </si>
  <si>
    <t>&gt;=1000</t>
  </si>
  <si>
    <t>The selected PCC does not exist!</t>
  </si>
  <si>
    <t>Not applicable for VAR Compensation (Flicker) selection.</t>
  </si>
  <si>
    <t>AccuSine® is a registered trademark of Schneider Electric</t>
  </si>
  <si>
    <t>The installed inductance (Z) is very low.  Compliance to any standard is doubtful!</t>
  </si>
  <si>
    <t>qty</t>
  </si>
  <si>
    <t>ShCR =</t>
  </si>
  <si>
    <t>OPR KVA</t>
  </si>
  <si>
    <t>Only 'Harmonic Mitigation' mode has been selected. No adjustment of 'Percent of AccuSine system assigned for Harmonic Mitigation' is required!</t>
  </si>
  <si>
    <t>Voltage where AccuSine system is attached:</t>
  </si>
  <si>
    <t>Adjustment of 'Percent Of AccuSine system assigned for Harmonic Mitigation' above may permit compliance with all objectives!</t>
  </si>
  <si>
    <t>Release Date:</t>
  </si>
  <si>
    <t>ShCA</t>
  </si>
  <si>
    <t>Impedance</t>
  </si>
  <si>
    <t>Linear and Nonlinear Loads</t>
  </si>
  <si>
    <t>Z</t>
  </si>
  <si>
    <t>V</t>
  </si>
  <si>
    <t>kVA</t>
  </si>
  <si>
    <t>A</t>
  </si>
  <si>
    <t>kW</t>
  </si>
  <si>
    <t>Transfer Switch</t>
  </si>
  <si>
    <t>MCC Bus</t>
  </si>
  <si>
    <t>MCC Transformer</t>
  </si>
  <si>
    <t>MCC Transfomer - Secondary</t>
  </si>
  <si>
    <t>Distribution Bus</t>
  </si>
  <si>
    <t>X"d</t>
  </si>
  <si>
    <t>Subtransient Reactance</t>
  </si>
  <si>
    <t>1.</t>
  </si>
  <si>
    <t>2.</t>
  </si>
  <si>
    <t>3.</t>
  </si>
  <si>
    <t>4.</t>
  </si>
  <si>
    <t>Corrected System</t>
  </si>
  <si>
    <t>Uncorrected System</t>
  </si>
  <si>
    <t>Based upon the data entered and the selection criteria chosen, no correction is required!</t>
  </si>
  <si>
    <t>z higher</t>
  </si>
  <si>
    <t>TDD higher</t>
  </si>
  <si>
    <t>z lower</t>
  </si>
  <si>
    <t>tdd low</t>
  </si>
  <si>
    <t>Adj TDD</t>
  </si>
  <si>
    <t>delta tdd</t>
  </si>
  <si>
    <t>delta z</t>
  </si>
  <si>
    <t>delta zset</t>
  </si>
  <si>
    <t>TDD SHCR</t>
  </si>
  <si>
    <t>Cell comments and pop-up statements are provided for clarifications and directions.</t>
  </si>
  <si>
    <t>6.</t>
  </si>
  <si>
    <t>VAC</t>
  </si>
  <si>
    <t>IP54</t>
  </si>
  <si>
    <t>Model Number</t>
  </si>
  <si>
    <t>Description</t>
  </si>
  <si>
    <t>AccuSine PCS</t>
  </si>
  <si>
    <t>AccuSine PFV</t>
  </si>
  <si>
    <t>AccuSine PCS 480V</t>
  </si>
  <si>
    <t>AccuSine PCS 690V</t>
  </si>
  <si>
    <t>AccuSine PCS 600V</t>
  </si>
  <si>
    <t>AccuSine PFV 480V</t>
  </si>
  <si>
    <t>AccuSine PFV 600V</t>
  </si>
  <si>
    <t>AccuSine PFV 690</t>
  </si>
  <si>
    <t>Criteria for PCS or PFV</t>
  </si>
  <si>
    <t>Model #</t>
  </si>
  <si>
    <t xml:space="preserve">5. </t>
  </si>
  <si>
    <t>7.</t>
  </si>
  <si>
    <t>Modes Selected</t>
  </si>
  <si>
    <t>AVG Impedance (Z%)</t>
  </si>
  <si>
    <t xml:space="preserve">PF factor </t>
  </si>
  <si>
    <t>% THDi (achieved)</t>
  </si>
  <si>
    <t>Factor</t>
  </si>
  <si>
    <t>max % LD</t>
  </si>
  <si>
    <t>Min % LD</t>
  </si>
  <si>
    <t>Operating PF Table</t>
  </si>
  <si>
    <t>% Max Ld</t>
  </si>
  <si>
    <t>Max DPF</t>
  </si>
  <si>
    <t>Min DPF</t>
  </si>
  <si>
    <t>I fund</t>
  </si>
  <si>
    <t>qty 1</t>
  </si>
  <si>
    <t>qty 2</t>
  </si>
  <si>
    <t>model 1</t>
  </si>
  <si>
    <t>model 2</t>
  </si>
  <si>
    <t>Encl</t>
  </si>
  <si>
    <t>Not applicable for neutral harmonic current calculations.</t>
  </si>
  <si>
    <t>Electrical System Single-Line Diagram</t>
  </si>
  <si>
    <t>12-p adj</t>
  </si>
  <si>
    <t>PWM VFD Z</t>
  </si>
  <si>
    <t>SCA SYSTEM</t>
  </si>
  <si>
    <t>Model Selection</t>
  </si>
  <si>
    <t>Select</t>
  </si>
  <si>
    <t>Model 1</t>
  </si>
  <si>
    <t>QTY 1</t>
  </si>
  <si>
    <t>QTY 2</t>
  </si>
  <si>
    <t>18-p</t>
  </si>
  <si>
    <t>Unit of Measure</t>
  </si>
  <si>
    <t xml:space="preserve">'Utility' has been selected as source. Data entry of 'Voltage' and 'Short Circuit Amperes' is required! </t>
  </si>
  <si>
    <t>'Utility' has been selected as the PCC.  Entry of 'Utility' parameters is required!  'Utility' must be selected as source!</t>
  </si>
  <si>
    <t>'Generator' has been selected as the PCC.  Entry of 'Generator' parameters is required!  'Generator' must be selected as source!</t>
  </si>
  <si>
    <t>Selection of at least one operational mode is required!</t>
  </si>
  <si>
    <t>Selected PCC:</t>
  </si>
  <si>
    <t>Bus</t>
  </si>
  <si>
    <t>Are single phase loads present?</t>
  </si>
  <si>
    <t>no</t>
  </si>
  <si>
    <t>Load</t>
  </si>
  <si>
    <t>Split</t>
  </si>
  <si>
    <t>yes</t>
  </si>
  <si>
    <t>Solid</t>
  </si>
  <si>
    <t>CT core construction:</t>
  </si>
  <si>
    <t>CT mounted on:</t>
  </si>
  <si>
    <t>PCS/PFV</t>
  </si>
  <si>
    <t>x</t>
  </si>
  <si>
    <t>derate</t>
  </si>
  <si>
    <t>If there are any questions, please, consult your local Schneider Electric representative.</t>
  </si>
  <si>
    <t>8.</t>
  </si>
  <si>
    <t>Percent of AccuSine PCS system assigned for Harmonic Mitigation:</t>
  </si>
  <si>
    <t>5% of NL loads</t>
  </si>
  <si>
    <t>OPR kva</t>
  </si>
  <si>
    <t>TDD orig</t>
  </si>
  <si>
    <t>Ih req'd</t>
  </si>
  <si>
    <t>Ir req'd</t>
  </si>
  <si>
    <t>Ilb req'd</t>
  </si>
  <si>
    <t>TDD Req'd</t>
  </si>
  <si>
    <t>DPF req'd</t>
  </si>
  <si>
    <t>MIN Req'd AHF</t>
  </si>
  <si>
    <t>obj</t>
  </si>
  <si>
    <t>Req'd</t>
  </si>
  <si>
    <t>Adjusted Ir</t>
  </si>
  <si>
    <t>Adjusted PF</t>
  </si>
  <si>
    <t>harmonics</t>
  </si>
  <si>
    <t>available for Fund</t>
  </si>
  <si>
    <t>fundamental</t>
  </si>
  <si>
    <t>Ratio</t>
  </si>
  <si>
    <t>Selected</t>
  </si>
  <si>
    <t>If Req'd to meet obj</t>
  </si>
  <si>
    <t>Ir avail</t>
  </si>
  <si>
    <t>LB avail</t>
  </si>
  <si>
    <t>LB Adj Amp</t>
  </si>
  <si>
    <t>Ih avail rating</t>
  </si>
  <si>
    <t>According to Priority</t>
  </si>
  <si>
    <t>Attain Ih</t>
  </si>
  <si>
    <t>TDD attain</t>
  </si>
  <si>
    <t>Adj If</t>
  </si>
  <si>
    <t>Adj Irms</t>
  </si>
  <si>
    <t xml:space="preserve">   </t>
  </si>
  <si>
    <t>Orig If</t>
  </si>
  <si>
    <t>Orig Irms</t>
  </si>
  <si>
    <t>AccuSine system voltage:</t>
  </si>
  <si>
    <t>orig TDD</t>
  </si>
  <si>
    <t>Orig Ih</t>
  </si>
  <si>
    <t>A/S Adj Rating</t>
  </si>
  <si>
    <t>Orig Ir</t>
  </si>
  <si>
    <t>unbalanced.</t>
  </si>
  <si>
    <t>Adj Ir</t>
  </si>
  <si>
    <t>solid</t>
  </si>
  <si>
    <t>d8 Revised</t>
  </si>
  <si>
    <t>Voltage adjustment</t>
  </si>
  <si>
    <t>PFV</t>
  </si>
  <si>
    <t>User Selected AccuSine rating @ unit base voltage:</t>
  </si>
  <si>
    <t>AccuSine rating required @ unit base voltage:</t>
  </si>
  <si>
    <t>If there are any questions, please, consult your Schneider Electric representative.</t>
  </si>
  <si>
    <t>@base volts</t>
  </si>
  <si>
    <t>System Volts</t>
  </si>
  <si>
    <t>@sys volt</t>
  </si>
  <si>
    <t>Select CT according to current rating of:</t>
  </si>
  <si>
    <t>480VAC selection</t>
  </si>
  <si>
    <t>600 VAC</t>
  </si>
  <si>
    <t>690 VAC</t>
  </si>
  <si>
    <t>size</t>
  </si>
  <si>
    <t>Q</t>
  </si>
  <si>
    <t>T</t>
  </si>
  <si>
    <t>ShCA System</t>
  </si>
  <si>
    <t>ShCR1</t>
  </si>
  <si>
    <t>PWM VFD DPF</t>
  </si>
  <si>
    <t>Full Load Displacement PF</t>
  </si>
  <si>
    <t>DPF indicator</t>
  </si>
  <si>
    <t>'Generator' has been selected as the source. Entry of 'Generator' parameters is required!</t>
  </si>
  <si>
    <t>KVAR</t>
  </si>
  <si>
    <t>Total PF</t>
  </si>
  <si>
    <t>% THDi</t>
  </si>
  <si>
    <t>Power</t>
  </si>
  <si>
    <t>Corrected Power</t>
  </si>
  <si>
    <t>Original System Current Amplitudes &amp; Total Harmoic Current Distortion</t>
  </si>
  <si>
    <t>Corrected Current Amplitudes &amp; Total Harmoic Current Distortion</t>
  </si>
  <si>
    <t>UL Type 12</t>
  </si>
  <si>
    <t>Distortion PF</t>
  </si>
  <si>
    <t>AC Motors Operating Direct-on-Line</t>
  </si>
  <si>
    <t>Harmonic Standard for current limits is</t>
  </si>
  <si>
    <t>Rated KW</t>
  </si>
  <si>
    <t>OPR KW</t>
  </si>
  <si>
    <t xml:space="preserve">All yellow cells are data entry fields. </t>
  </si>
  <si>
    <t>orig kW</t>
  </si>
  <si>
    <t>c37</t>
  </si>
  <si>
    <t>c38</t>
  </si>
  <si>
    <t>c39</t>
  </si>
  <si>
    <t>c40</t>
  </si>
  <si>
    <t>c41</t>
  </si>
  <si>
    <t>c42</t>
  </si>
  <si>
    <t>c43</t>
  </si>
  <si>
    <t>c44</t>
  </si>
  <si>
    <t>c45</t>
  </si>
  <si>
    <t>c46</t>
  </si>
  <si>
    <t>total same size</t>
  </si>
  <si>
    <t>divisor</t>
  </si>
  <si>
    <t>g30=</t>
  </si>
  <si>
    <t>(Displacement PF)</t>
  </si>
  <si>
    <t>Altitude (adjust when altitude  exceeds 1000 meters):</t>
  </si>
  <si>
    <t>SCR RECT</t>
  </si>
  <si>
    <t>Unit ShCR</t>
  </si>
  <si>
    <t>Partial loading multiplier</t>
  </si>
  <si>
    <t>40C</t>
  </si>
  <si>
    <t>User selection @ unit base voltage</t>
  </si>
  <si>
    <t>IP31</t>
  </si>
  <si>
    <t>IP00 (chassis)</t>
  </si>
  <si>
    <t>PCSP060D5IP00</t>
  </si>
  <si>
    <t>EVCP060D5IP00</t>
  </si>
  <si>
    <t>PCSP120D5IP00</t>
  </si>
  <si>
    <t>PCSP200D5IP00</t>
  </si>
  <si>
    <t>PCSP300D5IP00</t>
  </si>
  <si>
    <t>PCSP060D5IP31</t>
  </si>
  <si>
    <t>PCSP120D5IP31</t>
  </si>
  <si>
    <t>PCSP200D5IP31</t>
  </si>
  <si>
    <t>PCSP300D5IP31</t>
  </si>
  <si>
    <t>PCSP060D5IP54</t>
  </si>
  <si>
    <t>PCSP200D5IP54</t>
  </si>
  <si>
    <t>PCSP300D5IP54</t>
  </si>
  <si>
    <t>PCSP120D5IP54</t>
  </si>
  <si>
    <t>PCSP060D5N2</t>
  </si>
  <si>
    <t>PCSP120D5N2</t>
  </si>
  <si>
    <t>PCSP200D5N2</t>
  </si>
  <si>
    <t>PCSP300D5N2</t>
  </si>
  <si>
    <t>PCSP060D5N12</t>
  </si>
  <si>
    <t>PCSP120D5N12</t>
  </si>
  <si>
    <t>PCSP200D5N12</t>
  </si>
  <si>
    <t>PCSP300D5N12</t>
  </si>
  <si>
    <t>EVCP060D5IP31</t>
  </si>
  <si>
    <t>EVCP060D5IP54</t>
  </si>
  <si>
    <t>EVCP060D5N2</t>
  </si>
  <si>
    <t>EVCP060D5N12</t>
  </si>
  <si>
    <t>EVCP120D5IP00</t>
  </si>
  <si>
    <t>EVCP120D5IP31</t>
  </si>
  <si>
    <t>EVCP120D5IP54</t>
  </si>
  <si>
    <t>EVCP120D5N2</t>
  </si>
  <si>
    <t>EVCP120D5N12</t>
  </si>
  <si>
    <t>EVCP200D5IP00</t>
  </si>
  <si>
    <t>EVCP200D5IP31</t>
  </si>
  <si>
    <t>EVCP200D5IP54</t>
  </si>
  <si>
    <t>EVCP200D5N2</t>
  </si>
  <si>
    <t>EVCP200D5N12</t>
  </si>
  <si>
    <t>EVCP300D5IP00</t>
  </si>
  <si>
    <t>EVCP300D5IP31</t>
  </si>
  <si>
    <t>EVCP300D5IP54</t>
  </si>
  <si>
    <t>EVCP300D5N2</t>
  </si>
  <si>
    <t>EVCP300D5N12</t>
  </si>
  <si>
    <t>PCSP047D6N2</t>
  </si>
  <si>
    <t>PCSP047D6N12</t>
  </si>
  <si>
    <t>PCSP047D6IP54</t>
  </si>
  <si>
    <t>PCSP094D6N2</t>
  </si>
  <si>
    <t>PCSP094D6IP31</t>
  </si>
  <si>
    <t>PCSP094D6N12</t>
  </si>
  <si>
    <t>PCSP094D6IP54</t>
  </si>
  <si>
    <t>PCSP157D6N2</t>
  </si>
  <si>
    <t>PCSP157D6N12</t>
  </si>
  <si>
    <t>PCSP157D6IP54</t>
  </si>
  <si>
    <t>PCSP235D6N12</t>
  </si>
  <si>
    <t>PCSP235D6IP54</t>
  </si>
  <si>
    <t>PCSP040D7N2</t>
  </si>
  <si>
    <t>PCSP040D7IP31</t>
  </si>
  <si>
    <t>PCSP040D7N12</t>
  </si>
  <si>
    <t>PCSP040D7IP54</t>
  </si>
  <si>
    <t>PCSP080D7N2</t>
  </si>
  <si>
    <t>PCSP080D7IP31</t>
  </si>
  <si>
    <t>PCSP080D7N12</t>
  </si>
  <si>
    <t>PCSP080D7IP54</t>
  </si>
  <si>
    <t>PCSP133D7N2</t>
  </si>
  <si>
    <t>PCSP133D7IP31</t>
  </si>
  <si>
    <t>PCSP133D7N12</t>
  </si>
  <si>
    <t>PCSP133D7IP54</t>
  </si>
  <si>
    <t>PCSP200D7N12</t>
  </si>
  <si>
    <t>PCSP200D7IP54</t>
  </si>
  <si>
    <t>EVCP047D6N2</t>
  </si>
  <si>
    <t>EVCP047D6N12</t>
  </si>
  <si>
    <t>EVCP047D6IP54</t>
  </si>
  <si>
    <t>EVCP094D6N2</t>
  </si>
  <si>
    <t>EVCP094D6IP31</t>
  </si>
  <si>
    <t>EVCP094D6N12</t>
  </si>
  <si>
    <t>EVCP094D6IP54</t>
  </si>
  <si>
    <t>EVCP157D6N2</t>
  </si>
  <si>
    <t>EVCP157D6N12</t>
  </si>
  <si>
    <t>EVCP157D6IP54</t>
  </si>
  <si>
    <t>EVCP235D6N12</t>
  </si>
  <si>
    <t>EVCP235D6IP54</t>
  </si>
  <si>
    <t>EVCP040D7N2</t>
  </si>
  <si>
    <t>EVCP040D7IP31</t>
  </si>
  <si>
    <t>EVCP040D7N12</t>
  </si>
  <si>
    <t>EVCP040D7IP54</t>
  </si>
  <si>
    <t>EVCP080D7N2</t>
  </si>
  <si>
    <t>EVCP080D7IP31</t>
  </si>
  <si>
    <t>EVCP080D7N12</t>
  </si>
  <si>
    <t>EVCP080D7IP54</t>
  </si>
  <si>
    <t>EVCP133D7N2</t>
  </si>
  <si>
    <t>EVCP133D7IP31</t>
  </si>
  <si>
    <t>EVCP133D7N12</t>
  </si>
  <si>
    <t>EVCP133D7IP54</t>
  </si>
  <si>
    <t>EVCP200D7N12</t>
  </si>
  <si>
    <t>EVCP200D7IP54</t>
  </si>
  <si>
    <t>UL Type 2</t>
  </si>
  <si>
    <t>B</t>
  </si>
  <si>
    <t>C</t>
  </si>
  <si>
    <t>Get from LB worksheet</t>
  </si>
  <si>
    <t>AccuSine rating required @ system bus voltage:</t>
  </si>
  <si>
    <t>Model Selection is based upon user selected rating, ambient temperature, altitude, and enclosure type.</t>
  </si>
  <si>
    <t>EVCP047D6IP31</t>
  </si>
  <si>
    <t>EVCP157D6IP31</t>
  </si>
  <si>
    <t>EVCP200D7IP31</t>
  </si>
  <si>
    <t>EVCP235D6IP31</t>
  </si>
  <si>
    <t>AccuSine PCS+ 60A, 380-480 VAC IP00</t>
  </si>
  <si>
    <t>AccuSine PCS+ 120A, 380-480 VAC IP00</t>
  </si>
  <si>
    <t>AccuSine PCS+ 200A, 380-480 VAC IP00</t>
  </si>
  <si>
    <t>AccuSine PCS+ 300A, 380-480 VAC IP00</t>
  </si>
  <si>
    <t>AccuSine PCS+ 60A, 380-480 VAC IP31</t>
  </si>
  <si>
    <t>AccuSine PCS+ 120A, 380-480 VAC IP31</t>
  </si>
  <si>
    <t>AccuSine PCS+ 200A, 380-480 VAC IP31</t>
  </si>
  <si>
    <t>AccuSine PCS+ 300A, 380-480 VAC IP31</t>
  </si>
  <si>
    <t>AccuSine PCS+ 60A, 380-480 VAC N2</t>
  </si>
  <si>
    <t>AccuSine PCS+ 120A, 380-480 VAC N2</t>
  </si>
  <si>
    <t>AccuSine PCS+ 200A, 380-480 VAC N2</t>
  </si>
  <si>
    <t>AccuSine PCS+ 300A, 380-480 VAC N2</t>
  </si>
  <si>
    <t>AccuSine PCS+ 60A, 380-480 VAC IP54</t>
  </si>
  <si>
    <t>AccuSine PCS+ 120A, 380-480 VAC IP54</t>
  </si>
  <si>
    <t>AccuSine PCS+ 200A, 380-480 VAC IP54</t>
  </si>
  <si>
    <t>AccuSine PCS+ 300A, 380-480 VAC IP54</t>
  </si>
  <si>
    <t>AccuSine PCS+ 60A, 380-480 VAC N12</t>
  </si>
  <si>
    <t>AccuSine PCS+ 120A, 380-480 VAC N12</t>
  </si>
  <si>
    <t>AccuSine PCS+ 200A, 380-480 VAC N12</t>
  </si>
  <si>
    <t>AccuSine PCS+ 300A, 380-480 VAC N12</t>
  </si>
  <si>
    <t>PCSPWMKIT60A</t>
  </si>
  <si>
    <t>AccuSine+ Wall Mount Conversion Kit 60A</t>
  </si>
  <si>
    <t>PCSPWMKIT120A</t>
  </si>
  <si>
    <t>AccuSine+ Wall Mount Conversion Kit 120A</t>
  </si>
  <si>
    <t>PCSPWMKIT300A</t>
  </si>
  <si>
    <t>AccuSine+ Wall Mount Conversion Kit 200-300A</t>
  </si>
  <si>
    <t>AccuSine PFV+ 60A, 380-480 VAC IP00</t>
  </si>
  <si>
    <t>AccuSine PFV+ 120A, 380-480 VAC IP00</t>
  </si>
  <si>
    <t>AccuSine PFV+ 200A, 380-480 VAC IP00</t>
  </si>
  <si>
    <t>AccuSine PFV+ 300A, 380-480 VAC IP00</t>
  </si>
  <si>
    <t>AccuSine PFV+ 60A, 380-480 VAC IP31</t>
  </si>
  <si>
    <t>AccuSine PFV+ 120A, 380-480 VAC IP31</t>
  </si>
  <si>
    <t>AccuSine PFV+ 200A, 380-480 VAC IP31</t>
  </si>
  <si>
    <t>AccuSine PFV+ 300A, 380-480 VAC IP31</t>
  </si>
  <si>
    <t>AccuSine PFV+ 60A, 380-480 VAC N2</t>
  </si>
  <si>
    <t>AccuSine PFV+ 120A, 380-480 VAC N2</t>
  </si>
  <si>
    <t>AccuSine PFV+ 200A, 380-480 VAC N2</t>
  </si>
  <si>
    <t>AccuSine PFV+ 300A, 380-480 VAC N2</t>
  </si>
  <si>
    <t>AccuSine PFV+ 60A, 380-480 VAC IP54</t>
  </si>
  <si>
    <t>AccuSine PFV+ 120A, 380-480 VAC IP54</t>
  </si>
  <si>
    <t>AccuSine PFV+ 200A, 380-480 VAC IP54</t>
  </si>
  <si>
    <t>AccuSine PFV+ 300A, 380-480 VAC IP54</t>
  </si>
  <si>
    <t>AccuSine PFV+ 60A, 380-480 VAC N12</t>
  </si>
  <si>
    <t>AccuSine PFV+ 120A, 380-480 VAC N12</t>
  </si>
  <si>
    <t>AccuSine PFV+ 200A, 380-480 VAC N12</t>
  </si>
  <si>
    <t>AccuSine PFV+ 300A, 380-480 VAC N12</t>
  </si>
  <si>
    <t>PCSP047D6IP31</t>
  </si>
  <si>
    <t>PCSP157D6IP31</t>
  </si>
  <si>
    <t>PCSP235D6IP31</t>
  </si>
  <si>
    <t>PCSP235D6N2</t>
  </si>
  <si>
    <t>AccuSine PCS+ 40A, 600-690 VAC IP31</t>
  </si>
  <si>
    <t>AccuSine PCS+ 80A, 600-690 VAC IP31</t>
  </si>
  <si>
    <t>AccuSine PCS+ 133A, 600-690 VAC IP31</t>
  </si>
  <si>
    <t>PCSP200D7IP31</t>
  </si>
  <si>
    <t>AccuSine PCS+ 200A, 600-690 VAC IP31</t>
  </si>
  <si>
    <t>AccuSine PCS+ 40A, 600-690 VAC N2</t>
  </si>
  <si>
    <t>AccuSine PCS+ 80A, 600-690 VAC N2</t>
  </si>
  <si>
    <t>AccuSine PCS+ 133A, 600-690 VAC N2</t>
  </si>
  <si>
    <t>PCSP200D7N2</t>
  </si>
  <si>
    <t>AccuSine PCS+ 200A, 600-690 VAC N2</t>
  </si>
  <si>
    <t>EVCP235D6N2</t>
  </si>
  <si>
    <t>AccuSine PFV+ 40A, 600-690 VAC IP31</t>
  </si>
  <si>
    <t>AccuSine PFV+ 80A, 600-690 VAC IP31</t>
  </si>
  <si>
    <t>AccuSine PFV+ 133A, 600-690 VAC IP31</t>
  </si>
  <si>
    <t>AccuSine PFV+ 200A, 600-690 VAC IP31</t>
  </si>
  <si>
    <t>AccuSine PFV+ 40A, 600-690 VAC N2</t>
  </si>
  <si>
    <t>AccuSine PFV+ 80A, 600-690 VAC N2</t>
  </si>
  <si>
    <t>AccuSine PFV+ 133A, 600-690 VAC N2</t>
  </si>
  <si>
    <t>EVCP200D7N2</t>
  </si>
  <si>
    <t>AccuSine PFV+ 200A, 600-690 VAC N2</t>
  </si>
  <si>
    <t>AccuSine PFV+ 40A, 600-690 VAC IP54</t>
  </si>
  <si>
    <t>AccuSine PFV+ 80A, 600-690 VAC IP54</t>
  </si>
  <si>
    <t>AccuSine PFV+ 133A, 600-690 VAC IP54</t>
  </si>
  <si>
    <t>AccuSine PFV+ 200A, 600-690 VAC IP54</t>
  </si>
  <si>
    <t>AccuSine PFV+ 40A, 600-690 VAC N12</t>
  </si>
  <si>
    <t>AccuSine PFV+ 80A, 600-690 VAC N12</t>
  </si>
  <si>
    <t>AccuSine PFV+ 133A, 600-690 VAC N12</t>
  </si>
  <si>
    <t>AccuSine PFV+ 200A, 600-690 VAC N12</t>
  </si>
  <si>
    <t>IP00</t>
  </si>
  <si>
    <t>Rdup</t>
  </si>
  <si>
    <t>rddn</t>
  </si>
  <si>
    <t>AMPS Selected @ voltage</t>
  </si>
  <si>
    <t>voltage selection</t>
  </si>
  <si>
    <t>Item 1</t>
  </si>
  <si>
    <t>Item 2</t>
  </si>
  <si>
    <t>alt</t>
  </si>
  <si>
    <t>temp</t>
  </si>
  <si>
    <t>all enclosures</t>
  </si>
  <si>
    <t>if IP20</t>
  </si>
  <si>
    <t>Enclosure selection</t>
  </si>
  <si>
    <t>Ambient temperature adjustment for AccuSine PCS+ and AccuSine PFV+:</t>
  </si>
  <si>
    <t>AccuSine PCS+ 40A, 600-690 VAC IP54</t>
  </si>
  <si>
    <t>AccuSine PCS+ 40A, 600-690 VAC N12</t>
  </si>
  <si>
    <t>AccuSine PCS+ 80A, 600-690 VAC IP54</t>
  </si>
  <si>
    <t>AccuSine PCS+ 80A, 600-690 VAC N12</t>
  </si>
  <si>
    <t>AccuSine PCS+ 133A, 600-690 VAC IP54</t>
  </si>
  <si>
    <t>AccuSine PCS+ 133A, 600-690 VAC N12</t>
  </si>
  <si>
    <t>AccuSine PCS+ 200A, 600-690 VAC IP54</t>
  </si>
  <si>
    <t>AccuSine PCS+ 200A, 600-690 VAC N12</t>
  </si>
  <si>
    <t>Model 2</t>
  </si>
  <si>
    <t>Mains Selected:</t>
  </si>
  <si>
    <t>Utility Select</t>
  </si>
  <si>
    <t>Generator Select</t>
  </si>
  <si>
    <t>AccuSine System Connection Voltage</t>
  </si>
  <si>
    <t>'Distribution Transformer - Secondary' has been chosen as the PCC below.  Entry of transformer parameters is required on the 'Electrical System 1-line' worksheet!</t>
  </si>
  <si>
    <t>IEEE 519-2014</t>
  </si>
  <si>
    <t>Applied operational mode(s):</t>
  </si>
  <si>
    <t>City, State (Province):</t>
  </si>
  <si>
    <t>Country:</t>
  </si>
  <si>
    <t>D</t>
  </si>
  <si>
    <t>E</t>
  </si>
  <si>
    <t>F</t>
  </si>
  <si>
    <t>G</t>
  </si>
  <si>
    <t xml:space="preserve">IEEE 519-2014 Table 2 </t>
  </si>
  <si>
    <t>Data Center /Cloud Farms Servers</t>
  </si>
  <si>
    <t>DPF (negative = leading PF)</t>
  </si>
  <si>
    <t>Servers for Data Centers and Cloud Farms</t>
  </si>
  <si>
    <t>KW rating</t>
  </si>
  <si>
    <t>Part Load Expectation</t>
  </si>
  <si>
    <t>Server Calculations</t>
  </si>
  <si>
    <t>kvar at Design</t>
  </si>
  <si>
    <t>kva at design</t>
  </si>
  <si>
    <t>kvar at operating level</t>
  </si>
  <si>
    <t>oper PF</t>
  </si>
  <si>
    <t>KVAR site req'd</t>
  </si>
  <si>
    <t>Note: All displacement PF values are leading.  They must be entered as negative values above.</t>
  </si>
  <si>
    <t>totals</t>
  </si>
  <si>
    <t>design kw</t>
  </si>
  <si>
    <t>Irms</t>
  </si>
  <si>
    <t>THDi =</t>
  </si>
  <si>
    <t>TPF</t>
  </si>
  <si>
    <t>DF</t>
  </si>
  <si>
    <t>current</t>
  </si>
  <si>
    <t>IP20 (Wall mount UL Type 1)</t>
  </si>
  <si>
    <t xml:space="preserve">c. </t>
  </si>
  <si>
    <t>f.</t>
  </si>
  <si>
    <t>Design DPF @ Full Load (leading)</t>
  </si>
  <si>
    <t>Required PF for site (leading)</t>
  </si>
  <si>
    <t>AccuSine PFV+ 47A, 480-600 VAC IP31</t>
  </si>
  <si>
    <t>AccuSine PFV+ 47A, 480-600 VAC IP54</t>
  </si>
  <si>
    <t>AccuSine PFV+ 47A, 480-600 VAC N12</t>
  </si>
  <si>
    <t>AccuSine PFV+ 47A, 480-600 VAC N2</t>
  </si>
  <si>
    <t>AccuSine PFV+ 94A, 480-600 VAC IP31</t>
  </si>
  <si>
    <t>AccuSine PFV+ 94A, 480-600 VAC IP54</t>
  </si>
  <si>
    <t>AccuSine PFV+ 94A, 480-600 VAC N12</t>
  </si>
  <si>
    <t>AccuSine PFV+ 94A, 480-600 VAC N2</t>
  </si>
  <si>
    <t>AccuSine PFV+ 157A, 480-600 VAC IP31</t>
  </si>
  <si>
    <t>AccuSine PFV+ 157A, 480-600 VAC IP54</t>
  </si>
  <si>
    <t>AccuSine PFV+ 157A, 480-600 VAC N12</t>
  </si>
  <si>
    <t>AccuSine PFV+ 157A, 480-600 VAC N2</t>
  </si>
  <si>
    <t>AccuSine PFV+ 235A, 480-600 VAC IP31</t>
  </si>
  <si>
    <t>AccuSine PFV+ 235A, 480-600 VAC IP54</t>
  </si>
  <si>
    <t>AccuSine PFV+ 235A, 480-600 VAC N12</t>
  </si>
  <si>
    <t>AccuSine PFV+ 235A, 480-600 VAC N2</t>
  </si>
  <si>
    <t>AccuSine PCS+ 47A, 480-600 VAC IP31</t>
  </si>
  <si>
    <t>AccuSine PCS+ 47A, 480-600 VAC IP54</t>
  </si>
  <si>
    <t>AccuSine PCS+ 47A, 480-600 VAC N12</t>
  </si>
  <si>
    <t>AccuSine PCS+ 47A, 480-600 VAC N2</t>
  </si>
  <si>
    <t>AccuSine PCS+ 94A, 480-600 VAC IP31</t>
  </si>
  <si>
    <t>AccuSine PCS+ 94A, 480-600 VAC IP54</t>
  </si>
  <si>
    <t>AccuSine PCS+ 94A, 480-600 VAC N12</t>
  </si>
  <si>
    <t>AccuSine PCS+ 94A, 480-600 VAC N2</t>
  </si>
  <si>
    <t>AccuSine PCS+ 157A, 480-600 VAC IP31</t>
  </si>
  <si>
    <t>AccuSine PCS+ 157A, 480-600 VAC IP54</t>
  </si>
  <si>
    <t>AccuSine PCS+ 157A, 480-600 VAC N12</t>
  </si>
  <si>
    <t>AccuSine PCS+ 157A, 480-600 VAC N2</t>
  </si>
  <si>
    <t>AccuSine PCS+ 235A, 480-600 VAC IP31</t>
  </si>
  <si>
    <t>AccuSine PCS+ 235A, 480-600 VAC IP54</t>
  </si>
  <si>
    <t>AccuSine PCS+ 235A, 480-600 VAC N12</t>
  </si>
  <si>
    <t>AccuSine PCS+ 235A, 480-600 VAC N2</t>
  </si>
  <si>
    <t>By assigning values between 0% and 100%, the allocation of the AccuSine PCS+ system can be adjusted.  Proper adjustment will optimize the AccuSine PCS+ system size.</t>
  </si>
  <si>
    <t>If it is desired that PF mode have first priority, enter 0% in 'Percent of AccuSine PCS+ system assigned for Harmonic Mitigation' cell.  This assigns the full capacity of the AccuSine PCS+ system to first perform PF correction, then use the remaining capacity to perform Harmonic correction.  If all of the capacity is used for PF correction and/or Mains Current Balancing, then no Harmonic mitigation can occur.</t>
  </si>
  <si>
    <t>Not applicable for calculating leading to lagging or lagging to leading PF correction.</t>
  </si>
  <si>
    <t>If it is desired that Harmonic mode has first priority, enter 100% in 'Percent of AccuSine PCS+ system assigned for Harmonic Mitigation' cell.  After harmonic correction, the remaining capacity is used for reactive current injection (PF Correction).  If all of the capacity is used for harmonic correction, then no PF correction can occur.</t>
  </si>
  <si>
    <t>When Harmonic Mode is selected, either a 'Harmonic Standard' must be selected or 'TDD Required' value must be entered!  TDD may be set as low as 3%.</t>
  </si>
  <si>
    <t>Not applicable for Mains Current Balancing selection.</t>
  </si>
  <si>
    <t>Follow the 'Comments' and 'Pop-up Statements' that appear.  They are included as operator directions to provide ease of use.</t>
  </si>
  <si>
    <t>AccuSine PCS+ has the ability to assign functional priority between Harmonic mode and PF Correction mode.  Adjustment of priority can optimize (may reduce) the size of the AccuSine PCS+ systems.  "Percent of AccuSine PCS+ system assigned for Harmonic Mitigation" must be completed and adjusted to optimize the AccuSine PCS+ System selection when multiple modes are selected with Harmonic mode.  This assignment is on the 'AccuSine Sizing Tool' worksheet.</t>
  </si>
  <si>
    <t>The 'Short Circuit Ratio (ShCR)' is very low.  Be sure the loads do not exceed the electrical system capacity or the selected source has adequate short circuit capacity!</t>
  </si>
  <si>
    <t>Meters (Cannot exceed 4800m.) Derate at 1% per 100m over 1000m.</t>
  </si>
  <si>
    <t>UL Type 2 (Drip proof)</t>
  </si>
  <si>
    <t>°C</t>
  </si>
  <si>
    <r>
      <t xml:space="preserve">The PCC selected does not exist! Enter </t>
    </r>
    <r>
      <rPr>
        <b/>
        <sz val="10"/>
        <rFont val="Cambria"/>
        <family val="1"/>
        <scheme val="major"/>
      </rPr>
      <t>Electrical System Data</t>
    </r>
    <r>
      <rPr>
        <sz val="10"/>
        <rFont val="Cambria"/>
        <family val="1"/>
        <scheme val="major"/>
      </rPr>
      <t xml:space="preserve"> for the selected PCC on the 'Electrical System 1-line' worksheet!</t>
    </r>
  </si>
  <si>
    <t>'Power Factor Correction' has been selected.  An objective displacement PF (Cos phi) value must be entered.</t>
  </si>
  <si>
    <t>45C</t>
  </si>
  <si>
    <t>G56 =</t>
  </si>
  <si>
    <t>Ir result</t>
  </si>
  <si>
    <t>Complete 'Electrical System 1-line' worksheet to set VAC.</t>
  </si>
  <si>
    <t>AC Voltage =</t>
  </si>
  <si>
    <t>Uncorrected</t>
  </si>
  <si>
    <t>Corrected</t>
  </si>
  <si>
    <t>%THDI</t>
  </si>
  <si>
    <t>total KVA</t>
  </si>
  <si>
    <t>Amps at Req'd corrected</t>
  </si>
  <si>
    <t>req'd AccuISne Ir</t>
  </si>
  <si>
    <t>Kh</t>
  </si>
  <si>
    <t>Applied</t>
  </si>
  <si>
    <t>Adj Ir result</t>
  </si>
  <si>
    <t>Adj Ifund</t>
  </si>
  <si>
    <t>Adj Total Irms</t>
  </si>
  <si>
    <t>Cos φ =</t>
  </si>
  <si>
    <r>
      <t xml:space="preserve">This selection fails to meet the objective displacement PF [Cos </t>
    </r>
    <r>
      <rPr>
        <sz val="10"/>
        <color rgb="FFFF0000"/>
        <rFont val="Calibri"/>
        <family val="2"/>
      </rPr>
      <t>φ</t>
    </r>
    <r>
      <rPr>
        <sz val="10"/>
        <color rgb="FFFF0000"/>
        <rFont val="Cambria"/>
        <family val="1"/>
        <scheme val="major"/>
      </rPr>
      <t>] of</t>
    </r>
  </si>
  <si>
    <t>THDi</t>
  </si>
  <si>
    <t>Reset to 3% THDi</t>
  </si>
  <si>
    <t>PCSP060D2IP00</t>
  </si>
  <si>
    <t>PCSP060D2IP31</t>
  </si>
  <si>
    <t>PCSP060D2IP54</t>
  </si>
  <si>
    <t>PCSP060D2N2</t>
  </si>
  <si>
    <t>PCSP060D2N12</t>
  </si>
  <si>
    <t>PCSP120D2IP00</t>
  </si>
  <si>
    <t>PCSP120D2IP31</t>
  </si>
  <si>
    <t>PCSP120D2IP54</t>
  </si>
  <si>
    <t>PCSP120D2N2</t>
  </si>
  <si>
    <t>PCSP120D2N12</t>
  </si>
  <si>
    <t>PCSP200D2IP00</t>
  </si>
  <si>
    <t>PCSP200D2IP31</t>
  </si>
  <si>
    <t>PCSP200D2IP54</t>
  </si>
  <si>
    <t>PCSP200D2N2</t>
  </si>
  <si>
    <t>PCSP200D2N12</t>
  </si>
  <si>
    <t>PCSP300D2IP00</t>
  </si>
  <si>
    <t>PCSP300D2IP31</t>
  </si>
  <si>
    <t>PCSP300D2IP54</t>
  </si>
  <si>
    <t>PCSP300D2N2</t>
  </si>
  <si>
    <t>PCSP300D2N12</t>
  </si>
  <si>
    <t>EVCP060D2IP00</t>
  </si>
  <si>
    <t>EVCP060D2IP31</t>
  </si>
  <si>
    <t>EVCP060D2IP54</t>
  </si>
  <si>
    <t>EVCP060D2N2</t>
  </si>
  <si>
    <t>EVCP060D2N12</t>
  </si>
  <si>
    <t>EVCP120D2IP00</t>
  </si>
  <si>
    <t>EVCP120D2IP31</t>
  </si>
  <si>
    <t>EVCP120D2IP54</t>
  </si>
  <si>
    <t>EVCP120D2N2</t>
  </si>
  <si>
    <t>EVCP120D2N12</t>
  </si>
  <si>
    <t>EVCP200D2IP00</t>
  </si>
  <si>
    <t>EVCP200D2IP31</t>
  </si>
  <si>
    <t>EVCP200D2IP54</t>
  </si>
  <si>
    <t>EVCP200D2N2</t>
  </si>
  <si>
    <t>EVCP200D2N12</t>
  </si>
  <si>
    <t>EVCP300D2IP00</t>
  </si>
  <si>
    <t>EVCP300D2IP31</t>
  </si>
  <si>
    <t>EVCP300D2IP54</t>
  </si>
  <si>
    <t>EVCP300D2N2</t>
  </si>
  <si>
    <t>EVCP300D2N12</t>
  </si>
  <si>
    <t>240V Selection</t>
  </si>
  <si>
    <t>AccuSine PCS+ 60A 208-240V IP00</t>
  </si>
  <si>
    <t>AccuSine PCS+ 120A 208-240V IP00</t>
  </si>
  <si>
    <t>AccuSine PCS+ 200A 208-240V IP00</t>
  </si>
  <si>
    <t>AccuSine PCS+ 300A 208-240V IP00</t>
  </si>
  <si>
    <t>AccuSine PCS+ 60A 208-240V IP31</t>
  </si>
  <si>
    <t>AccuSine PCS+ 120A 208-240V IP31</t>
  </si>
  <si>
    <t>AccuSine PCS+ 200A 208-240V IP31</t>
  </si>
  <si>
    <t>AccuSine PCS+ 300A 208-240V IP31</t>
  </si>
  <si>
    <t>AccuSine PCS+ 60A 208-240V N2</t>
  </si>
  <si>
    <t>AccuSine PCS+ 120A 208-240V N2</t>
  </si>
  <si>
    <t>AccuSine PCS+ 200A 208-240V N2</t>
  </si>
  <si>
    <t>AccuSine PCS+ 300A 208-240V N2</t>
  </si>
  <si>
    <t>AccuSine PCS+ 60A 208-240V N12</t>
  </si>
  <si>
    <t>AccuSine PCS+ 120A 208-240V N12</t>
  </si>
  <si>
    <t>AccuSine PCS+ 200A 208-240V N12</t>
  </si>
  <si>
    <t>AccuSine PCS+ 300A 208-240V N12</t>
  </si>
  <si>
    <t>AccuSine PCS+ 60A 208-240V IP54</t>
  </si>
  <si>
    <t>AccuSine PCS+ 120A 208-240V IP54</t>
  </si>
  <si>
    <t>AccuSine PCS+ 200A 208-240V IP54</t>
  </si>
  <si>
    <t>AccuSine PCS+ 300A 208-240V IP54</t>
  </si>
  <si>
    <t>AccuSine PFV+ 60A 208-240V IP00</t>
  </si>
  <si>
    <t>AccuSine PFV+ 120A 208-240V IP00</t>
  </si>
  <si>
    <t>AccuSine PFV+ 200A 208-240V IP00</t>
  </si>
  <si>
    <t>AccuSine PFV+ 300A 208-240V IP00</t>
  </si>
  <si>
    <t>AccuSine PFV+ 60A 208-240V IP31</t>
  </si>
  <si>
    <t>AccuSine PFV+ 120A 208-240V IP31</t>
  </si>
  <si>
    <t>AccuSine PFV+ 200A 208-240V IP31</t>
  </si>
  <si>
    <t>AccuSine PFV+ 300A 208-240V IP31</t>
  </si>
  <si>
    <t>AccuSine PFV+ 60A 208-240V N2</t>
  </si>
  <si>
    <t>AccuSine PFV+ 120A 208-240V N2</t>
  </si>
  <si>
    <t>AccuSine PFV+ 200A 208-240V N2</t>
  </si>
  <si>
    <t>AccuSine PFV+ 300A 208-240V N2</t>
  </si>
  <si>
    <t>AccuSine PFV+ 60A 208-240V N12</t>
  </si>
  <si>
    <t>AccuSine PFV+ 120A 208-240V N12</t>
  </si>
  <si>
    <t>AccuSine PFV+ 200A 208-240V N12</t>
  </si>
  <si>
    <t>AccuSine PFV+ 300A 208-240V N12</t>
  </si>
  <si>
    <t>AccuSine PFV+ 60A 208-240V IP54</t>
  </si>
  <si>
    <t>AccuSine PFV+ 120A 208-240V IP54</t>
  </si>
  <si>
    <t>AccuSine PFV+ 200A 208-240V IP54</t>
  </si>
  <si>
    <t>AccuSine PFV+ 300A 208-240V IP54</t>
  </si>
  <si>
    <t>Reference Number</t>
  </si>
  <si>
    <t xml:space="preserve">Round </t>
  </si>
  <si>
    <t>Rectangular</t>
  </si>
  <si>
    <t>Primary Rating</t>
  </si>
  <si>
    <t>Core Type</t>
  </si>
  <si>
    <t>Mounting</t>
  </si>
  <si>
    <t>Secondary Rating</t>
  </si>
  <si>
    <t>Diameter (mm)</t>
  </si>
  <si>
    <t>Width (mm)</t>
  </si>
  <si>
    <t>Height (mm)</t>
  </si>
  <si>
    <t>PCSPCT7RL1021</t>
  </si>
  <si>
    <t>CURRENT TRANSFORMER 1000 1 SOLID RD 2.5ID</t>
  </si>
  <si>
    <t>PCSPCT7RL2011</t>
  </si>
  <si>
    <t>CURRENT TRANSFORMER 200 1 SOLID RD 2.5ID</t>
  </si>
  <si>
    <t>round</t>
  </si>
  <si>
    <t>PCSPCT7RL1025</t>
  </si>
  <si>
    <t>CURRENT TRANSFORMER 1000 5 SOLID RD 2.5ID</t>
  </si>
  <si>
    <t>PCSPCT7RL3011</t>
  </si>
  <si>
    <t>CURRENT TRANSFORMER 300 1 SOLID RD 2.5ID</t>
  </si>
  <si>
    <t>PCSPCT7RL1221</t>
  </si>
  <si>
    <t>CURRENT TRANSFORMER 1200 1 SOLID RD 2.5ID</t>
  </si>
  <si>
    <t>PCSPCT7RL4011</t>
  </si>
  <si>
    <t>CURRENT TRANSFORMER 400 1 SOLID RD 2.5ID</t>
  </si>
  <si>
    <t>PCSPCTFCL5001R</t>
  </si>
  <si>
    <t>CURRENT TRANSFORMER 500 1 SPLIT Rect</t>
  </si>
  <si>
    <t>PCSPCT7RL1225</t>
  </si>
  <si>
    <t>CURRENT TRANSFORMER 1200 5 SOLID RD 2.5ID</t>
  </si>
  <si>
    <t>PCSPCT7RL5011</t>
  </si>
  <si>
    <t>CURRENT TRANSFORMER 500 1 SOLID RD 2.5ID</t>
  </si>
  <si>
    <t>PCSPCTFCL10001R</t>
  </si>
  <si>
    <t>CURRENT TRANSFORMER 1000 1 SPLIT Rect</t>
  </si>
  <si>
    <t>PCSPCT7RL1521</t>
  </si>
  <si>
    <t>CURRENT TRANSFORMER 1500 1 SOLID RD 2.5ID</t>
  </si>
  <si>
    <t>PCSPCT7RL6011</t>
  </si>
  <si>
    <t>CURRENT TRANSFORMER 600 1 SOLID RD 2.5ID</t>
  </si>
  <si>
    <t>PCSPCTFCL12001R</t>
  </si>
  <si>
    <t>CURRENT TRANSFORMER 1200 1 SPLIT Rect</t>
  </si>
  <si>
    <t>PCSPCT7RL1525</t>
  </si>
  <si>
    <t>CURRENT TRANSFORMER 1500 5 SOLID RD 2.5ID</t>
  </si>
  <si>
    <t>No</t>
  </si>
  <si>
    <t>PCSPCT7RL7511</t>
  </si>
  <si>
    <t>CURRENT TRANSFORMER 750 1 SOLID RD 2.5ID</t>
  </si>
  <si>
    <t>PCSPCTFCL15001R</t>
  </si>
  <si>
    <t>CURRENT TRANSFORMER 1500 1 SPLIT Rect</t>
  </si>
  <si>
    <t>PCSPCT7RL1621</t>
  </si>
  <si>
    <t>CURRENT TRANSFORMER 1600 1 SOLID RD 2.5ID</t>
  </si>
  <si>
    <t>PCSPCT7RL8011</t>
  </si>
  <si>
    <t>CURRENT TRANSFORMER 800 1 SOLID RD 2.5ID</t>
  </si>
  <si>
    <t>PCSPCTFCL16001R</t>
  </si>
  <si>
    <t>CURRENT TRANSFORMER 1600 1 SPLIT Rect</t>
  </si>
  <si>
    <t>PCSPCT7RL1625</t>
  </si>
  <si>
    <t>CURRENT TRANSFORMER 1600 5 SOLID RD 2.5ID</t>
  </si>
  <si>
    <t>Busbar</t>
  </si>
  <si>
    <t>PCSPCTFCL20001R</t>
  </si>
  <si>
    <t>CURRENT TRANSFORMER 2000 1 SPLIT Rect</t>
  </si>
  <si>
    <t xml:space="preserve">Secondary Current Rating: </t>
  </si>
  <si>
    <t>PCSPCTFCL25001R</t>
  </si>
  <si>
    <t>CURRENT TRANSFORMER 2500 1 SPLIT Rect</t>
  </si>
  <si>
    <t>PCSPCTFCL30001R</t>
  </si>
  <si>
    <t>CURRENT TRANSFORMER 3000 1 SPLIT Rect</t>
  </si>
  <si>
    <t>PCSPCT7RL3015</t>
  </si>
  <si>
    <t>CURRENT TRANSFORMER 300 5 SOLID RD 2.5ID</t>
  </si>
  <si>
    <t>CT Selecton</t>
  </si>
  <si>
    <t>PCSPCT7RL4015</t>
  </si>
  <si>
    <t>CURRENT TRANSFORMER 400 5 SOLID RD 2.5ID</t>
  </si>
  <si>
    <t>PCSPCTFCL5005R</t>
  </si>
  <si>
    <t>CURRENT TRANSFORMER 500 5 SPLIT Rect</t>
  </si>
  <si>
    <t>PCSPCT7RL5015</t>
  </si>
  <si>
    <t>CURRENT TRANSFORMER 500 5 SOLID RD 2.5ID</t>
  </si>
  <si>
    <t>PCSPCTFCL10005R</t>
  </si>
  <si>
    <t>CURRENT TRANSFORMER 1000 5 SPLIT Rect</t>
  </si>
  <si>
    <t>PCSPCTFCL12005R</t>
  </si>
  <si>
    <t>CURRENT TRANSFORMER 1200 5 SPLIT Rect</t>
  </si>
  <si>
    <t>PCSPCT7RL6015</t>
  </si>
  <si>
    <t>CURRENT TRANSFORMER 600 5 SOLID RD 2.5ID</t>
  </si>
  <si>
    <t xml:space="preserve">Selection of Current Transformers (CT) is site and load specific.  The amperage rating of the CT primary must meet or exceed the expected maximum load current amplitude to be measured.  </t>
  </si>
  <si>
    <t>PCSPCTFCL15005R</t>
  </si>
  <si>
    <t>CURRENT TRANSFORMER 1500 5 SPLIT Rect</t>
  </si>
  <si>
    <t>PCSPCT7RL7515</t>
  </si>
  <si>
    <t>CURRENT TRANSFORMER 750 5 SOLID RD 2.5ID</t>
  </si>
  <si>
    <t>PCSPCTFCL16005R</t>
  </si>
  <si>
    <t>CURRENT TRANSFORMER 1600 5 SPLIT Rect</t>
  </si>
  <si>
    <t>PCSPCT7RL8015</t>
  </si>
  <si>
    <t>CURRENT TRANSFORMER 800 5 SOLID RD 2.5ID</t>
  </si>
  <si>
    <t>PCSPCTFCL20005R</t>
  </si>
  <si>
    <t>CURRENT TRANSFORMER 2000 5 SPLIT Rect</t>
  </si>
  <si>
    <t>PCSPCTFCL25005R</t>
  </si>
  <si>
    <t>CURRENT TRANSFORMER 2500 5 SPLIT Rect</t>
  </si>
  <si>
    <t>PCSPCTFCL30005R</t>
  </si>
  <si>
    <t>CURRENT TRANSFORMER 3000 5 SPLIT Rect</t>
  </si>
  <si>
    <t>PCSPCTFC1000058</t>
  </si>
  <si>
    <t xml:space="preserve">CURRENT TRANSFORMER 10000 5 SPLIT RND 8ID </t>
  </si>
  <si>
    <t>PCSPCTFC7500511</t>
  </si>
  <si>
    <t xml:space="preserve">CURRENT TRANSFORMER 7500 5 SPLIT RND 11ID </t>
  </si>
  <si>
    <t>PCSPCTFC750058</t>
  </si>
  <si>
    <t xml:space="preserve">CURRENT TRANSFORMER 7500 5 SPLIT RND 8ID </t>
  </si>
  <si>
    <t>PCSPCTFCL100014</t>
  </si>
  <si>
    <t xml:space="preserve">CURRENT TRANSFORMER 1000 1 SPLIT RND 4ID </t>
  </si>
  <si>
    <t>PCSPCTFCL50014</t>
  </si>
  <si>
    <t xml:space="preserve">CURRENT TRANSFORMER 500 1 SPLIT RND 4ID </t>
  </si>
  <si>
    <t>PCSPCTFCL25001R411</t>
  </si>
  <si>
    <t>CURRENT TRANSFORMER 2500 1 SPLIT Rect 4X11</t>
  </si>
  <si>
    <t>PCSPCTFCL100016</t>
  </si>
  <si>
    <t xml:space="preserve">CURRENT TRANSFORMER 1000 1 SPLIT RND 6ID </t>
  </si>
  <si>
    <t>PCSPCTFCL30001R411</t>
  </si>
  <si>
    <t>CURRENT TRANSFORMER 3000 1 SPLIT Rect 4X11</t>
  </si>
  <si>
    <t>PCSPCTFCL40001R411</t>
  </si>
  <si>
    <t>CURRENT TRANSFORMER 4000 1 SPLIT Rect 4X11</t>
  </si>
  <si>
    <t>PCSPCTFCL100054</t>
  </si>
  <si>
    <t xml:space="preserve">CURRENT TRANSFORMER 1000 5 SPLIT RND 4ID </t>
  </si>
  <si>
    <t>PCSPCTFCL50001R411</t>
  </si>
  <si>
    <t>CURRENT TRANSFORMER 5000 1 SPLIT Rect 4X11</t>
  </si>
  <si>
    <t>PCSPCTFCL150016</t>
  </si>
  <si>
    <t xml:space="preserve">CURRENT TRANSFORMER 1500 1 SPLIT RND 6ID </t>
  </si>
  <si>
    <t>PCSPCTFCL200016</t>
  </si>
  <si>
    <t xml:space="preserve">CURRENT TRANSFORMER 2000 1 SPLIT RND 6ID </t>
  </si>
  <si>
    <t>PCSPCTFCL120056</t>
  </si>
  <si>
    <t xml:space="preserve">CURRENT TRANSFORMER 1200 5 SPLIT RND 6ID </t>
  </si>
  <si>
    <t>PCSPCTFCL250016</t>
  </si>
  <si>
    <t xml:space="preserve">CURRENT TRANSFORMER 2500 1 SPLIT RND 6ID </t>
  </si>
  <si>
    <t>PCSPCTFCL300016</t>
  </si>
  <si>
    <t xml:space="preserve">CURRENT TRANSFORMER 3000 1 SPLIT RND 6ID </t>
  </si>
  <si>
    <t>PCSPCTFCL1500111</t>
  </si>
  <si>
    <t xml:space="preserve">CURRENT TRANSFORMER 1500 1 SPLIT RND 11ID </t>
  </si>
  <si>
    <t>PCSPCTFCL25005R411</t>
  </si>
  <si>
    <t>CURRENT TRANSFORMER 2500 5 SPLIT Rect 4X11</t>
  </si>
  <si>
    <t>PCSPCTFCL150018</t>
  </si>
  <si>
    <t xml:space="preserve">CURRENT TRANSFORMER 1500 1 SPLIT RND 8ID </t>
  </si>
  <si>
    <t>PCSPCTFCL30005R411</t>
  </si>
  <si>
    <t>CURRENT TRANSFORMER 3000 5 SPLIT Rect 4X11</t>
  </si>
  <si>
    <t>PCSPCTFCL200018</t>
  </si>
  <si>
    <t xml:space="preserve">CURRENT TRANSFORMER 2000 1 SPLIT RND 8ID </t>
  </si>
  <si>
    <t>PCSPCTFCL40005R411</t>
  </si>
  <si>
    <t>CURRENT TRANSFORMER 4000 5 SPLIT Rect 4X11</t>
  </si>
  <si>
    <t>PCSPCTFCL400018</t>
  </si>
  <si>
    <t xml:space="preserve">CURRENT TRANSFORMER 4000 1 SPLIT RND 8ID </t>
  </si>
  <si>
    <t>PCSPCTFCL50005R411</t>
  </si>
  <si>
    <t>CURRENT TRANSFORMER 5000 5 SPLIT Rect 4X11</t>
  </si>
  <si>
    <t>PCSPCTFCL150054</t>
  </si>
  <si>
    <t xml:space="preserve">CURRENT TRANSFORMER 1500 5 SPLIT RND 4ID </t>
  </si>
  <si>
    <t>PCSPCTFCL500018</t>
  </si>
  <si>
    <t xml:space="preserve">CURRENT TRANSFORMER 5000 1 SPLIT RND 8ID </t>
  </si>
  <si>
    <t>PCSPCTFCL160054</t>
  </si>
  <si>
    <t xml:space="preserve">CURRENT TRANSFORMER 1600 5 SPLIT RND 4ID </t>
  </si>
  <si>
    <t>PCSPCTFCL50054</t>
  </si>
  <si>
    <t xml:space="preserve">CURRENT TRANSFORMER 500 5 SPLIT RND 4ID </t>
  </si>
  <si>
    <t>solid rd</t>
  </si>
  <si>
    <t>split rd</t>
  </si>
  <si>
    <t>split rect</t>
  </si>
  <si>
    <t xml:space="preserve">Yes </t>
  </si>
  <si>
    <t>Cable</t>
  </si>
  <si>
    <t>PCSPCTFCL200056</t>
  </si>
  <si>
    <t xml:space="preserve">CURRENT TRANSFORMER 2000 5 SPLIT RND 6ID </t>
  </si>
  <si>
    <t>PCSPCTFCL50056</t>
  </si>
  <si>
    <t xml:space="preserve">CURRENT TRANSFORMER 500 5 SPLIT RND 6ID </t>
  </si>
  <si>
    <t>Required Current Rating</t>
  </si>
  <si>
    <t>PCSPCTFCL250056</t>
  </si>
  <si>
    <t xml:space="preserve">CURRENT TRANSFORMER 2500 5 SPLIT RND 6ID </t>
  </si>
  <si>
    <t>PCSPCTFCL2500511</t>
  </si>
  <si>
    <t xml:space="preserve">CURRENT TRANSFORMER 2500 5 SPLIT RND 11ID </t>
  </si>
  <si>
    <t>PCSPCTFCL300056</t>
  </si>
  <si>
    <t xml:space="preserve">CURRENT TRANSFORMER 3000 5 SPLIT RND 6ID </t>
  </si>
  <si>
    <t>solid round 1A</t>
  </si>
  <si>
    <t>solid round 5A</t>
  </si>
  <si>
    <t>PCSPCTFCL250058</t>
  </si>
  <si>
    <t xml:space="preserve">CURRENT TRANSFORMER 2500 5 SPLIT RND 8ID </t>
  </si>
  <si>
    <t>split round 1A 4"</t>
  </si>
  <si>
    <t>PCSPCTFCL400058</t>
  </si>
  <si>
    <t xml:space="preserve">CURRENT TRANSFORMER 4000 5 SPLIT RND 8ID </t>
  </si>
  <si>
    <t>Split round 5A 4"</t>
  </si>
  <si>
    <t>PCSPCTFCL500058</t>
  </si>
  <si>
    <t xml:space="preserve">CURRENT TRANSFORMER 5000 5 SPLIT RND 8ID </t>
  </si>
  <si>
    <t>split round 1A 6"</t>
  </si>
  <si>
    <t>Split round 5A 6"</t>
  </si>
  <si>
    <t>split round 1A 8"</t>
  </si>
  <si>
    <t>Split round 5A 8"</t>
  </si>
  <si>
    <t>split round 1A 11"</t>
  </si>
  <si>
    <t>Split round 5A 11"</t>
  </si>
  <si>
    <t>rect small  1A</t>
  </si>
  <si>
    <t>rect small  5A</t>
  </si>
  <si>
    <t>Rect Large 1A</t>
  </si>
  <si>
    <t>Rect large 5A</t>
  </si>
  <si>
    <t>AccuSine PCS 240V</t>
  </si>
  <si>
    <t>AccuSine PFV 240V</t>
  </si>
  <si>
    <t>AccuSine+ rating required @ system bus voltage:</t>
  </si>
  <si>
    <t>AccuSine+ rating required @ unit base voltage:</t>
  </si>
  <si>
    <t>User Selected AccuSine+ rating @ unit base voltage:</t>
  </si>
  <si>
    <t>Is your selction for Server loads?</t>
  </si>
  <si>
    <t>The worksheet titled 'Model Selector' uses information from the 'AccuSine Selection Tool' or "Server' worksheet to identify the quantities and model numbers for the AccuSine system that meet your needs.  Selection of enclosure style is required on this worksheet to complete model selection. Adjustment for ambient temperature and altitude are included to account for unit derating.</t>
  </si>
  <si>
    <t>Complete the 'Electrical System 1-line' worksheet when compliance to a harmonic standard is required or when AccuSine+ connection voltage is other than 480 VAC.</t>
  </si>
  <si>
    <t>Default AccuSine+ System connection voltage is 480 VAC.  To modify, go to 'Electrical System 1-line' worksheet.  Enter the desired VAC of connection at the 'MCC Transformer' data entry location.</t>
  </si>
  <si>
    <t>g.</t>
  </si>
  <si>
    <t xml:space="preserve">Complete the "AccuSine Sizing Tool' worksheet to define nonlinear loads and linear loads for AccuSine PCS+ or AccuSine PFV+ selection.  </t>
  </si>
  <si>
    <t>The 'User Selected AccuSine rating @ unit base voltage' must be entered to complete the selection.  Enter a rating that is rounded up the nearest integer for optimum selection.</t>
  </si>
  <si>
    <t>An 'User Selected AccuSine Rating @ unit base voltage' must be entered on the 'AccuSine Sizing Tool' worksheet to provide a completed results summary.  Enter a rating that is rounded up to the nearest integer for optimum selction.</t>
  </si>
  <si>
    <t>The worksheet titled 'CT Selector' uses data from 'AccuSine Selection Tool' or "Server" and 'Model Selector' worksheets to identify the CT size and quantities required.  Additional data entry is required to complete.</t>
  </si>
  <si>
    <t>% THDi at full load levels based upon installed inductive impedance 
and source to load short circuit ratio (ShCR)</t>
  </si>
  <si>
    <t>Typical THDi Levels</t>
  </si>
  <si>
    <t>No electrical system information is required when selection is made for a specified harmonic current distortion (THDi) value in the 'THDi Required' cell or when harmonic mode is not selected. [A default Short Circuit Ratio (ShCR) of 2501:1 is used if no electrical system data is entered.]</t>
  </si>
  <si>
    <t>THDi Required:</t>
  </si>
  <si>
    <t>Enclosure type required:
(select using an 'x')
SELECT ONLY ONE!</t>
  </si>
  <si>
    <t>'MCC Transformer - Secondary' has been chosen as the PCC below.  Entry of transformer parameters is required on the 'Electrical System 1-line' worksheet!</t>
  </si>
  <si>
    <t>KVAR Correction</t>
  </si>
  <si>
    <t>SCA at Utility or GEN @ PCC Volt</t>
  </si>
  <si>
    <t>source SC MVA</t>
  </si>
  <si>
    <t>util or gen</t>
  </si>
  <si>
    <t>PCSPCTFCL50016</t>
  </si>
  <si>
    <t xml:space="preserve">CURRENT TRANSFORMER 500 1 SPLIT RND 6ID </t>
  </si>
  <si>
    <t>PCSPCTFCL250018</t>
  </si>
  <si>
    <t xml:space="preserve">CURRENT TRANSFORMER 2500 1 SPLIT RND 8ID </t>
  </si>
  <si>
    <t>PCSPCTFCL2500111</t>
  </si>
  <si>
    <t xml:space="preserve">CURRENT TRANSFORMER 2500 1 SPLIT RND 11ID </t>
  </si>
  <si>
    <t>AccuSine PCS+ and AccuSine PFV+ may use CT with 50-60 Hz frequency response with Class 1 accuracy (Instrument rated).
AccuSine PCS+ and AccuSine PFV+ require two CT per location. If single phase loads are present, then 3 CT per location are required.</t>
  </si>
  <si>
    <t>Bus current rating:</t>
  </si>
  <si>
    <t>There are many ratings and styles of CT available.  This selector is based upon standard designs offered by Schneider Electric. Additional sizes and styles are available but not included in this selector.
AccuSine PSC+ and AccuSine PFV+ can operate with 2 CT. If single phase loads are present, 3 CT are required.</t>
  </si>
  <si>
    <t>AccuSine PCS+/PFV+ IP00 and IP20 models rated 60A, 120A, &amp; 200A are 100% continuous duty to 45°C;   All other ratings and enclosures are 100% continuous duty to 40°C. Maximum ambient is 50°C for all models.  Absolute shut down occurs at 51°C inlet air temperature.</t>
  </si>
  <si>
    <t>60/120/200 IP00</t>
  </si>
  <si>
    <t>300A</t>
  </si>
  <si>
    <t>Split 1</t>
  </si>
  <si>
    <t>Comment for d17</t>
  </si>
  <si>
    <t>Rect SM 1</t>
  </si>
  <si>
    <t>Rect SM 5</t>
  </si>
  <si>
    <t>Rect 411 1</t>
  </si>
  <si>
    <t>Rect 411 5</t>
  </si>
  <si>
    <t>Split 5</t>
  </si>
  <si>
    <t>Adjusted TDD</t>
  </si>
  <si>
    <t>The "Server" worksheet provides a selection for leading displacement power factor (DPF) correction.  It is assumed that the server utilizes switched mode power supplies (SMPS) defined as buck-boost converters with less than 5% THD(i) at all operating load levels.  Since the DPF is leadng all DPF values are negative.  Selection is for AccuSine PFV+ only.</t>
  </si>
  <si>
    <t>AccuSine+  Model Selection</t>
  </si>
  <si>
    <t>AccuSine PCS+ and AccuSine PFV+ Selection Tool</t>
  </si>
  <si>
    <t xml:space="preserve">This selection tool is applicable for selecting an optimized AccuSine PCS+ or PFV+ system to be used for any combination of the following modes: harmonic mitigation, displacement power factor correction (Cos ɸ), or both.  </t>
  </si>
  <si>
    <r>
      <t xml:space="preserve">The worksheet titled 'Typical THDi Levels' displays typical Total THDi at full load values for PWM VFD with different amounts of installed inductive impedance (line reactors or DC bus chokes) at various short circuit current values.  
DC bus chokes and input line reactor impedances (Z%) are summed for total impedance for PWM VFD. The results are used for PWM VFD solutions.
</t>
    </r>
    <r>
      <rPr>
        <b/>
        <sz val="12"/>
        <color indexed="12"/>
        <rFont val="Calibri"/>
        <family val="2"/>
        <scheme val="minor"/>
      </rPr>
      <t>BEST PRACTICE</t>
    </r>
    <r>
      <rPr>
        <b/>
        <sz val="12"/>
        <rFont val="Calibri"/>
        <family val="2"/>
        <scheme val="minor"/>
      </rPr>
      <t xml:space="preserve"> for 6-pulse PWM VFD is inclusion of 3% to 5% total impedance either installed in the DC bus, on the 3-phase mains input, or both for significant initial THDi reductions.  If very low to no impedance is installed compliance to any standard is doubtful.</t>
    </r>
  </si>
  <si>
    <r>
      <t xml:space="preserve">DC drives, UPS w/SCR (thyristor) rectifiers, and SCR (thyristor) power supplies cause a unique phenomena identified as 'voltage notching'.  Voltage notching can adversely effect other SCR (thyristor) rectifiers and electronic loads installed on the same distribution bus.  Voltage notching can only be reduced by installing line reactors rated from 3% to 7.5%.  High source impedance (such as back up generators) requires higher load impedance.  
Active harmonic filters cannot remedy voltage notching due to SCR (thyristor) rectifiers.  Input line reactors are required.
</t>
    </r>
    <r>
      <rPr>
        <b/>
        <sz val="12"/>
        <color indexed="12"/>
        <rFont val="Calibri"/>
        <family val="2"/>
        <scheme val="minor"/>
      </rPr>
      <t>BEST PRACTICE</t>
    </r>
    <r>
      <rPr>
        <b/>
        <sz val="12"/>
        <rFont val="Calibri"/>
        <family val="2"/>
        <scheme val="minor"/>
      </rPr>
      <t xml:space="preserve"> is to install 3-phase line reactors with 3-7.5% impedance at the input rectifier to smooth voltage notches and reduce voltage distortion due to the voltage notches.</t>
    </r>
  </si>
  <si>
    <r>
      <t>AccuSine</t>
    </r>
    <r>
      <rPr>
        <b/>
        <vertAlign val="superscript"/>
        <sz val="12"/>
        <rFont val="Calibri"/>
        <family val="2"/>
        <scheme val="minor"/>
      </rPr>
      <t>®</t>
    </r>
    <r>
      <rPr>
        <b/>
        <sz val="12"/>
        <rFont val="Calibri"/>
        <family val="2"/>
        <scheme val="minor"/>
      </rPr>
      <t xml:space="preserve"> is a registered trademark of Schneider Electric</t>
    </r>
  </si>
  <si>
    <t>PF rating (Cos ɸ)</t>
  </si>
  <si>
    <r>
      <t>AccuSine+</t>
    </r>
    <r>
      <rPr>
        <b/>
        <vertAlign val="superscript"/>
        <sz val="22"/>
        <rFont val="Calibri"/>
        <family val="2"/>
        <scheme val="minor"/>
      </rPr>
      <t>®</t>
    </r>
    <r>
      <rPr>
        <b/>
        <sz val="22"/>
        <rFont val="Calibri"/>
        <family val="2"/>
        <scheme val="minor"/>
      </rPr>
      <t xml:space="preserve"> Electrical  Network Selection </t>
    </r>
  </si>
  <si>
    <t>Selection of AccuSine+® Rating</t>
  </si>
  <si>
    <t xml:space="preserve">DPF (Cos φ) Required: </t>
  </si>
  <si>
    <t>Cos ɸ</t>
  </si>
  <si>
    <t>DPF (Cos φ)</t>
  </si>
  <si>
    <t>Selection of AccuSine+® Rating for Server Applications</t>
  </si>
  <si>
    <r>
      <t>Total I</t>
    </r>
    <r>
      <rPr>
        <b/>
        <vertAlign val="subscript"/>
        <sz val="12"/>
        <rFont val="Calibri"/>
        <family val="2"/>
        <scheme val="minor"/>
      </rPr>
      <t>rms</t>
    </r>
  </si>
  <si>
    <r>
      <t>Total I</t>
    </r>
    <r>
      <rPr>
        <b/>
        <vertAlign val="subscript"/>
        <sz val="12"/>
        <rFont val="Calibri"/>
        <family val="2"/>
        <scheme val="minor"/>
      </rPr>
      <t>fund</t>
    </r>
  </si>
  <si>
    <r>
      <t>Total I</t>
    </r>
    <r>
      <rPr>
        <b/>
        <vertAlign val="subscript"/>
        <sz val="12"/>
        <rFont val="Calibri"/>
        <family val="2"/>
        <scheme val="minor"/>
      </rPr>
      <t>h</t>
    </r>
  </si>
  <si>
    <r>
      <t>Total I</t>
    </r>
    <r>
      <rPr>
        <b/>
        <vertAlign val="subscript"/>
        <sz val="12"/>
        <rFont val="Calibri"/>
        <family val="2"/>
        <scheme val="minor"/>
      </rPr>
      <t>reactive</t>
    </r>
  </si>
  <si>
    <r>
      <t>Total I</t>
    </r>
    <r>
      <rPr>
        <b/>
        <vertAlign val="subscript"/>
        <sz val="14"/>
        <rFont val="Calibri"/>
        <family val="2"/>
        <scheme val="minor"/>
      </rPr>
      <t>rms</t>
    </r>
  </si>
  <si>
    <r>
      <t>Total I</t>
    </r>
    <r>
      <rPr>
        <b/>
        <vertAlign val="subscript"/>
        <sz val="14"/>
        <rFont val="Calibri"/>
        <family val="2"/>
        <scheme val="minor"/>
      </rPr>
      <t>fund</t>
    </r>
  </si>
  <si>
    <r>
      <t>Total I</t>
    </r>
    <r>
      <rPr>
        <b/>
        <vertAlign val="subscript"/>
        <sz val="14"/>
        <rFont val="Calibri"/>
        <family val="2"/>
        <scheme val="minor"/>
      </rPr>
      <t>h</t>
    </r>
  </si>
  <si>
    <r>
      <t>Total I</t>
    </r>
    <r>
      <rPr>
        <b/>
        <vertAlign val="subscript"/>
        <sz val="14"/>
        <rFont val="Calibri"/>
        <family val="2"/>
        <scheme val="minor"/>
      </rPr>
      <t>reactive</t>
    </r>
  </si>
  <si>
    <t>AccuSine+® Unit BOM</t>
  </si>
  <si>
    <t>The above selection assumes one mains (power) source.  If more mains (power) sources are present, then additional sets of CT may be required. One set per source location may be required.</t>
  </si>
  <si>
    <t>AccuSine+®  Current Transformer (CT) Selection</t>
  </si>
  <si>
    <t>CT used with AccuSine PCS+ and PFV+ may have 1 or 5 amp secondary. AccuSine PCS+ and AccuSine PFV+ have CT burdens of 1 VA for 5 amp secondaries and 0.04 VA for 1 amp secondaries.
Be sure the CT have adequate VA rating.  VA rating is based upon the quatity of AccuSine+ units connected in parallel, the CT secondary ampere rating, the total distance of the CT cable lengths, and the resistance (per meter) of the cable size selected.</t>
  </si>
  <si>
    <r>
      <t xml:space="preserve">This selection meets or exceeds the objective displacement PF [Cos </t>
    </r>
    <r>
      <rPr>
        <sz val="10"/>
        <color indexed="12"/>
        <rFont val="Calibri"/>
        <family val="2"/>
      </rPr>
      <t>ɸ</t>
    </r>
    <r>
      <rPr>
        <sz val="10"/>
        <color indexed="12"/>
        <rFont val="Cambria"/>
        <family val="1"/>
        <scheme val="major"/>
      </rPr>
      <t>] of</t>
    </r>
  </si>
  <si>
    <r>
      <t>I</t>
    </r>
    <r>
      <rPr>
        <vertAlign val="subscript"/>
        <sz val="14"/>
        <rFont val="Calibri"/>
        <family val="2"/>
        <scheme val="minor"/>
      </rPr>
      <t>sc</t>
    </r>
    <r>
      <rPr>
        <sz val="14"/>
        <rFont val="Calibri"/>
        <family val="2"/>
        <scheme val="minor"/>
      </rPr>
      <t>/I</t>
    </r>
    <r>
      <rPr>
        <vertAlign val="subscript"/>
        <sz val="14"/>
        <rFont val="Calibri"/>
        <family val="2"/>
        <scheme val="minor"/>
      </rPr>
      <t>f FLA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</si>
</sst>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000000"/>
    <numFmt numFmtId="167" formatCode="0.0%"/>
    <numFmt numFmtId="168" formatCode="0.000"/>
    <numFmt numFmtId="169" formatCode="0.000000000000"/>
    <numFmt numFmtId="170" formatCode="[$-409]d\-mmm\-yyyy;@"/>
    <numFmt numFmtId="171" formatCode="0.000000000000000%"/>
    <numFmt numFmtId="172" formatCode="[$-409]d\-mmm\-yy;@"/>
    <numFmt numFmtId="173" formatCode="#,##0.0"/>
  </numFmts>
  <fonts count="82" x14ac:knownFonts="1">
    <font>
      <sz val="10"/>
      <name val="Arial"/>
    </font>
    <font>
      <sz val="10"/>
      <name val="Arial"/>
      <family val="2"/>
    </font>
    <font>
      <b/>
      <sz val="10"/>
      <name val="Arial"/>
      <family val="2"/>
    </font>
    <font>
      <sz val="10"/>
      <name val="Arial"/>
      <family val="2"/>
    </font>
    <font>
      <sz val="8"/>
      <color indexed="81"/>
      <name val="Tahoma"/>
      <family val="2"/>
    </font>
    <font>
      <b/>
      <sz val="8"/>
      <color indexed="81"/>
      <name val="Tahoma"/>
      <family val="2"/>
    </font>
    <font>
      <sz val="10"/>
      <name val="Times New Roman"/>
      <family val="1"/>
    </font>
    <font>
      <u/>
      <sz val="6"/>
      <color indexed="12"/>
      <name val="Arial"/>
      <family val="2"/>
    </font>
    <font>
      <b/>
      <sz val="12"/>
      <name val="Arial"/>
      <family val="2"/>
    </font>
    <font>
      <b/>
      <sz val="14"/>
      <name val="Arial"/>
      <family val="2"/>
    </font>
    <font>
      <sz val="12"/>
      <name val="Arial"/>
      <family val="2"/>
    </font>
    <font>
      <sz val="8"/>
      <name val="Arial"/>
      <family val="2"/>
    </font>
    <font>
      <sz val="14"/>
      <name val="Arial"/>
      <family val="2"/>
    </font>
    <font>
      <b/>
      <sz val="18"/>
      <name val="Arial"/>
      <family val="2"/>
    </font>
    <font>
      <b/>
      <sz val="13"/>
      <name val="Arial"/>
      <family val="2"/>
    </font>
    <font>
      <b/>
      <sz val="12"/>
      <color indexed="57"/>
      <name val="Arial"/>
      <family val="2"/>
    </font>
    <font>
      <b/>
      <sz val="10"/>
      <name val="Cambria"/>
      <family val="1"/>
      <scheme val="major"/>
    </font>
    <font>
      <sz val="12"/>
      <name val="Cambria"/>
      <family val="1"/>
      <scheme val="major"/>
    </font>
    <font>
      <b/>
      <sz val="18"/>
      <name val="Cambria"/>
      <family val="1"/>
      <scheme val="major"/>
    </font>
    <font>
      <sz val="10"/>
      <name val="Cambria"/>
      <family val="1"/>
      <scheme val="major"/>
    </font>
    <font>
      <sz val="14"/>
      <name val="Cambria"/>
      <family val="1"/>
      <scheme val="major"/>
    </font>
    <font>
      <b/>
      <sz val="12"/>
      <name val="Cambria"/>
      <family val="1"/>
      <scheme val="major"/>
    </font>
    <font>
      <b/>
      <sz val="10"/>
      <color rgb="FFFF0000"/>
      <name val="Cambria"/>
      <family val="1"/>
      <scheme val="major"/>
    </font>
    <font>
      <b/>
      <sz val="14"/>
      <name val="Cambria"/>
      <family val="1"/>
      <scheme val="major"/>
    </font>
    <font>
      <sz val="10"/>
      <color indexed="12"/>
      <name val="Cambria"/>
      <family val="1"/>
      <scheme val="major"/>
    </font>
    <font>
      <b/>
      <sz val="12"/>
      <color rgb="FF002060"/>
      <name val="Cambria"/>
      <family val="1"/>
      <scheme val="major"/>
    </font>
    <font>
      <b/>
      <sz val="12"/>
      <color indexed="61"/>
      <name val="Cambria"/>
      <family val="1"/>
      <scheme val="major"/>
    </font>
    <font>
      <b/>
      <sz val="18"/>
      <name val="Calibri"/>
      <family val="2"/>
    </font>
    <font>
      <sz val="10"/>
      <color rgb="FFFF0000"/>
      <name val="Cambria"/>
      <family val="1"/>
      <scheme val="major"/>
    </font>
    <font>
      <b/>
      <sz val="10"/>
      <color indexed="12"/>
      <name val="Cambria"/>
      <family val="1"/>
      <scheme val="major"/>
    </font>
    <font>
      <sz val="10"/>
      <color indexed="12"/>
      <name val="Calibri"/>
      <family val="2"/>
    </font>
    <font>
      <sz val="10"/>
      <color rgb="FFFF0000"/>
      <name val="Calibri"/>
      <family val="2"/>
    </font>
    <font>
      <sz val="12"/>
      <name val="Calibri"/>
      <family val="2"/>
      <scheme val="minor"/>
    </font>
    <font>
      <b/>
      <sz val="11"/>
      <name val="Calibri"/>
      <family val="2"/>
    </font>
    <font>
      <b/>
      <sz val="9"/>
      <name val="Calibri"/>
      <family val="2"/>
    </font>
    <font>
      <sz val="9"/>
      <name val="Calibri"/>
      <family val="2"/>
    </font>
    <font>
      <sz val="11"/>
      <name val="Calibri"/>
      <family val="2"/>
    </font>
    <font>
      <sz val="9"/>
      <name val="Arial"/>
      <family val="2"/>
    </font>
    <font>
      <sz val="18"/>
      <name val="Arial"/>
      <family val="2"/>
    </font>
    <font>
      <b/>
      <sz val="18"/>
      <name val="Calibri"/>
      <family val="2"/>
      <scheme val="minor"/>
    </font>
    <font>
      <b/>
      <sz val="12"/>
      <name val="Calibri"/>
      <family val="2"/>
      <scheme val="minor"/>
    </font>
    <font>
      <b/>
      <sz val="12"/>
      <color indexed="12"/>
      <name val="Calibri"/>
      <family val="2"/>
      <scheme val="minor"/>
    </font>
    <font>
      <b/>
      <vertAlign val="superscript"/>
      <sz val="12"/>
      <name val="Calibri"/>
      <family val="2"/>
      <scheme val="minor"/>
    </font>
    <font>
      <b/>
      <sz val="16"/>
      <name val="Calibri"/>
      <family val="2"/>
      <scheme val="minor"/>
    </font>
    <font>
      <sz val="10"/>
      <name val="Calibri"/>
      <family val="2"/>
      <scheme val="minor"/>
    </font>
    <font>
      <b/>
      <sz val="14"/>
      <name val="Calibri"/>
      <family val="2"/>
      <scheme val="minor"/>
    </font>
    <font>
      <b/>
      <sz val="10"/>
      <name val="Calibri"/>
      <family val="2"/>
      <scheme val="minor"/>
    </font>
    <font>
      <b/>
      <sz val="10"/>
      <color rgb="FFFF0000"/>
      <name val="Calibri"/>
      <family val="2"/>
      <scheme val="minor"/>
    </font>
    <font>
      <b/>
      <sz val="10"/>
      <color indexed="10"/>
      <name val="Calibri"/>
      <family val="2"/>
      <scheme val="minor"/>
    </font>
    <font>
      <b/>
      <sz val="22"/>
      <name val="Calibri"/>
      <family val="2"/>
      <scheme val="minor"/>
    </font>
    <font>
      <b/>
      <vertAlign val="superscript"/>
      <sz val="22"/>
      <name val="Calibri"/>
      <family val="2"/>
      <scheme val="minor"/>
    </font>
    <font>
      <sz val="20"/>
      <name val="Calibri"/>
      <family val="2"/>
      <scheme val="minor"/>
    </font>
    <font>
      <sz val="16"/>
      <name val="Calibri"/>
      <family val="2"/>
      <scheme val="minor"/>
    </font>
    <font>
      <sz val="11"/>
      <name val="Calibri"/>
      <family val="2"/>
      <scheme val="minor"/>
    </font>
    <font>
      <sz val="12"/>
      <color rgb="FFFF0000"/>
      <name val="Calibri"/>
      <family val="2"/>
      <scheme val="minor"/>
    </font>
    <font>
      <sz val="10"/>
      <color rgb="FFFF0000"/>
      <name val="Calibri"/>
      <family val="2"/>
      <scheme val="minor"/>
    </font>
    <font>
      <sz val="10"/>
      <color indexed="10"/>
      <name val="Calibri"/>
      <family val="2"/>
      <scheme val="minor"/>
    </font>
    <font>
      <b/>
      <sz val="12"/>
      <color indexed="10"/>
      <name val="Calibri"/>
      <family val="2"/>
      <scheme val="minor"/>
    </font>
    <font>
      <b/>
      <sz val="10"/>
      <color indexed="12"/>
      <name val="Calibri"/>
      <family val="2"/>
      <scheme val="minor"/>
    </font>
    <font>
      <b/>
      <sz val="10"/>
      <color indexed="53"/>
      <name val="Calibri"/>
      <family val="2"/>
      <scheme val="minor"/>
    </font>
    <font>
      <b/>
      <sz val="14"/>
      <color indexed="17"/>
      <name val="Calibri"/>
      <family val="2"/>
      <scheme val="minor"/>
    </font>
    <font>
      <b/>
      <sz val="14"/>
      <color indexed="12"/>
      <name val="Calibri"/>
      <family val="2"/>
      <scheme val="minor"/>
    </font>
    <font>
      <b/>
      <sz val="10"/>
      <color indexed="20"/>
      <name val="Calibri"/>
      <family val="2"/>
      <scheme val="minor"/>
    </font>
    <font>
      <b/>
      <sz val="20"/>
      <name val="Calibri"/>
      <family val="2"/>
      <scheme val="minor"/>
    </font>
    <font>
      <b/>
      <vertAlign val="subscript"/>
      <sz val="12"/>
      <name val="Calibri"/>
      <family val="2"/>
      <scheme val="minor"/>
    </font>
    <font>
      <sz val="14"/>
      <name val="Calibri"/>
      <family val="2"/>
      <scheme val="minor"/>
    </font>
    <font>
      <sz val="14"/>
      <color rgb="FFFF0000"/>
      <name val="Calibri"/>
      <family val="2"/>
      <scheme val="minor"/>
    </font>
    <font>
      <b/>
      <vertAlign val="subscript"/>
      <sz val="14"/>
      <name val="Calibri"/>
      <family val="2"/>
      <scheme val="minor"/>
    </font>
    <font>
      <b/>
      <sz val="14"/>
      <color indexed="53"/>
      <name val="Calibri"/>
      <family val="2"/>
      <scheme val="minor"/>
    </font>
    <font>
      <b/>
      <sz val="14"/>
      <color indexed="10"/>
      <name val="Calibri"/>
      <family val="2"/>
      <scheme val="minor"/>
    </font>
    <font>
      <b/>
      <sz val="12"/>
      <color rgb="FFFF0000"/>
      <name val="Calibri"/>
      <family val="2"/>
      <scheme val="minor"/>
    </font>
    <font>
      <b/>
      <sz val="14"/>
      <color rgb="FFFF0000"/>
      <name val="Calibri"/>
      <family val="2"/>
      <scheme val="minor"/>
    </font>
    <font>
      <sz val="10"/>
      <color indexed="12"/>
      <name val="Calibri"/>
      <family val="2"/>
      <scheme val="minor"/>
    </font>
    <font>
      <b/>
      <sz val="12"/>
      <color theme="3"/>
      <name val="Calibri"/>
      <family val="2"/>
      <scheme val="minor"/>
    </font>
    <font>
      <b/>
      <sz val="12"/>
      <color rgb="FF002060"/>
      <name val="Calibri"/>
      <family val="2"/>
      <scheme val="minor"/>
    </font>
    <font>
      <b/>
      <sz val="9"/>
      <color rgb="FFFF0000"/>
      <name val="Calibri"/>
      <family val="2"/>
      <scheme val="minor"/>
    </font>
    <font>
      <sz val="14"/>
      <color rgb="FF170A74"/>
      <name val="Calibri"/>
      <family val="2"/>
      <scheme val="minor"/>
    </font>
    <font>
      <vertAlign val="subscript"/>
      <sz val="14"/>
      <name val="Calibri"/>
      <family val="2"/>
      <scheme val="minor"/>
    </font>
    <font>
      <sz val="12"/>
      <color indexed="10"/>
      <name val="Calibri"/>
      <family val="2"/>
      <scheme val="minor"/>
    </font>
    <font>
      <b/>
      <sz val="13"/>
      <name val="Calibri"/>
      <family val="2"/>
      <scheme val="minor"/>
    </font>
    <font>
      <b/>
      <sz val="13"/>
      <color indexed="12"/>
      <name val="Calibri"/>
      <family val="2"/>
      <scheme val="minor"/>
    </font>
    <font>
      <b/>
      <sz val="13"/>
      <color indexed="53"/>
      <name val="Calibri"/>
      <family val="2"/>
      <scheme val="minor"/>
    </font>
  </fonts>
  <fills count="22">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0"/>
        <bgColor indexed="64"/>
      </patternFill>
    </fill>
    <fill>
      <patternFill patternType="solid">
        <fgColor indexed="41"/>
        <bgColor indexed="64"/>
      </patternFill>
    </fill>
    <fill>
      <patternFill patternType="solid">
        <fgColor indexed="51"/>
        <bgColor indexed="64"/>
      </patternFill>
    </fill>
    <fill>
      <patternFill patternType="solid">
        <fgColor indexed="45"/>
        <bgColor indexed="64"/>
      </patternFill>
    </fill>
    <fill>
      <patternFill patternType="solid">
        <fgColor indexed="44"/>
        <bgColor indexed="64"/>
      </patternFill>
    </fill>
    <fill>
      <patternFill patternType="solid">
        <fgColor indexed="46"/>
        <bgColor indexed="64"/>
      </patternFill>
    </fill>
    <fill>
      <patternFill patternType="solid">
        <fgColor indexed="50"/>
        <bgColor indexed="64"/>
      </patternFill>
    </fill>
    <fill>
      <patternFill patternType="solid">
        <fgColor indexed="47"/>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indexed="65"/>
        <bgColor indexed="64"/>
      </patternFill>
    </fill>
    <fill>
      <patternFill patternType="solid">
        <fgColor rgb="FFFFC000"/>
        <bgColor indexed="64"/>
      </patternFill>
    </fill>
    <fill>
      <patternFill patternType="solid">
        <fgColor rgb="FF01FF74"/>
        <bgColor indexed="64"/>
      </patternFill>
    </fill>
    <fill>
      <patternFill patternType="solid">
        <fgColor rgb="FF99FF99"/>
        <bgColor indexed="64"/>
      </patternFill>
    </fill>
    <fill>
      <patternFill patternType="solid">
        <fgColor rgb="FF01FF74"/>
        <bgColor rgb="FF000000"/>
      </patternFill>
    </fill>
    <fill>
      <patternFill patternType="solid">
        <fgColor rgb="FFFFFF00"/>
        <bgColor rgb="FF000000"/>
      </patternFill>
    </fill>
    <fill>
      <patternFill patternType="solid">
        <fgColor rgb="FFCC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976">
    <xf numFmtId="0" fontId="0" fillId="0" borderId="0" xfId="0"/>
    <xf numFmtId="14" fontId="0" fillId="0" borderId="0" xfId="0" applyNumberFormat="1"/>
    <xf numFmtId="0" fontId="0" fillId="0" borderId="0" xfId="0" applyAlignment="1">
      <alignment horizontal="right"/>
    </xf>
    <xf numFmtId="0" fontId="0" fillId="0" borderId="0" xfId="0" applyAlignment="1">
      <alignment horizontal="center"/>
    </xf>
    <xf numFmtId="10" fontId="0" fillId="0" borderId="0" xfId="0" applyNumberFormat="1"/>
    <xf numFmtId="2" fontId="0" fillId="0" borderId="0" xfId="0" applyNumberFormat="1"/>
    <xf numFmtId="1" fontId="0" fillId="0" borderId="0" xfId="0" applyNumberFormat="1"/>
    <xf numFmtId="0" fontId="0" fillId="0" borderId="0" xfId="0" applyAlignment="1">
      <alignment horizontal="center" wrapText="1"/>
    </xf>
    <xf numFmtId="10" fontId="0" fillId="0" borderId="0" xfId="0" applyNumberFormat="1" applyAlignment="1">
      <alignment horizontal="center" wrapText="1"/>
    </xf>
    <xf numFmtId="164" fontId="0" fillId="0" borderId="0" xfId="0" applyNumberFormat="1" applyAlignment="1">
      <alignment horizontal="center"/>
    </xf>
    <xf numFmtId="165" fontId="0" fillId="0" borderId="0" xfId="0" applyNumberFormat="1" applyAlignment="1">
      <alignment horizontal="center" wrapText="1"/>
    </xf>
    <xf numFmtId="165" fontId="0" fillId="0" borderId="0" xfId="0" applyNumberFormat="1"/>
    <xf numFmtId="0" fontId="0" fillId="0" borderId="0" xfId="0" applyNumberFormat="1"/>
    <xf numFmtId="0" fontId="2" fillId="0" borderId="1" xfId="0" applyFont="1" applyBorder="1"/>
    <xf numFmtId="10" fontId="0" fillId="0" borderId="0" xfId="0" applyNumberFormat="1" applyBorder="1"/>
    <xf numFmtId="0" fontId="3" fillId="0" borderId="1" xfId="0" applyFont="1" applyBorder="1"/>
    <xf numFmtId="10" fontId="3" fillId="0" borderId="1" xfId="0" applyNumberFormat="1" applyFont="1" applyBorder="1"/>
    <xf numFmtId="0" fontId="3" fillId="0" borderId="1" xfId="0" applyNumberFormat="1" applyFont="1" applyBorder="1"/>
    <xf numFmtId="0" fontId="0" fillId="0" borderId="0" xfId="0" applyAlignment="1">
      <alignment wrapText="1"/>
    </xf>
    <xf numFmtId="9" fontId="0" fillId="0" borderId="0" xfId="0" applyNumberFormat="1"/>
    <xf numFmtId="0" fontId="0" fillId="0" borderId="1" xfId="0" applyBorder="1"/>
    <xf numFmtId="0" fontId="0" fillId="0" borderId="0" xfId="0" applyBorder="1"/>
    <xf numFmtId="0" fontId="2" fillId="0" borderId="0" xfId="0" applyFont="1"/>
    <xf numFmtId="0" fontId="7" fillId="0" borderId="0" xfId="1" applyFont="1" applyAlignment="1" applyProtection="1">
      <alignment wrapText="1"/>
    </xf>
    <xf numFmtId="0" fontId="0" fillId="0" borderId="1" xfId="0" applyBorder="1" applyAlignment="1">
      <alignment horizontal="left"/>
    </xf>
    <xf numFmtId="2" fontId="0" fillId="0" borderId="1" xfId="0" applyNumberFormat="1" applyBorder="1"/>
    <xf numFmtId="0" fontId="0" fillId="0" borderId="0" xfId="0" applyBorder="1" applyAlignment="1">
      <alignment horizontal="left"/>
    </xf>
    <xf numFmtId="2" fontId="0" fillId="0" borderId="1" xfId="0" applyNumberFormat="1" applyBorder="1" applyAlignment="1">
      <alignment horizontal="right"/>
    </xf>
    <xf numFmtId="0" fontId="2" fillId="0" borderId="0" xfId="0" applyFont="1" applyBorder="1"/>
    <xf numFmtId="0" fontId="3" fillId="0" borderId="0" xfId="0" applyFont="1" applyBorder="1"/>
    <xf numFmtId="0" fontId="0" fillId="0" borderId="0" xfId="0" applyNumberFormat="1" applyBorder="1"/>
    <xf numFmtId="10" fontId="3" fillId="0" borderId="0" xfId="0" applyNumberFormat="1" applyFont="1" applyBorder="1"/>
    <xf numFmtId="164" fontId="0" fillId="0" borderId="0" xfId="0" applyNumberFormat="1"/>
    <xf numFmtId="2" fontId="3" fillId="0" borderId="0" xfId="0" applyNumberFormat="1" applyFont="1" applyBorder="1"/>
    <xf numFmtId="0" fontId="0" fillId="0" borderId="0" xfId="0" quotePrefix="1"/>
    <xf numFmtId="10" fontId="2" fillId="0" borderId="1" xfId="0" applyNumberFormat="1" applyFont="1" applyBorder="1"/>
    <xf numFmtId="0" fontId="6" fillId="0" borderId="5"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165" fontId="3" fillId="0" borderId="0" xfId="0" applyNumberFormat="1" applyFont="1" applyBorder="1"/>
    <xf numFmtId="168" fontId="0" fillId="0" borderId="0" xfId="0" applyNumberFormat="1"/>
    <xf numFmtId="0" fontId="0" fillId="0" borderId="0" xfId="0" applyAlignment="1" applyProtection="1">
      <alignment wrapText="1"/>
      <protection hidden="1"/>
    </xf>
    <xf numFmtId="0" fontId="0" fillId="0" borderId="0" xfId="0" applyProtection="1">
      <protection hidden="1"/>
    </xf>
    <xf numFmtId="0" fontId="0" fillId="0" borderId="0" xfId="0" applyAlignment="1" applyProtection="1">
      <alignment horizontal="center"/>
      <protection hidden="1"/>
    </xf>
    <xf numFmtId="0" fontId="0" fillId="0" borderId="24" xfId="0" applyBorder="1" applyProtection="1">
      <protection hidden="1"/>
    </xf>
    <xf numFmtId="0" fontId="0" fillId="0" borderId="27" xfId="0" applyBorder="1" applyProtection="1">
      <protection hidden="1"/>
    </xf>
    <xf numFmtId="0" fontId="0" fillId="0" borderId="0" xfId="0" applyBorder="1" applyProtection="1">
      <protection hidden="1"/>
    </xf>
    <xf numFmtId="0" fontId="0" fillId="0" borderId="28" xfId="0" applyBorder="1" applyProtection="1">
      <protection hidden="1"/>
    </xf>
    <xf numFmtId="0" fontId="0" fillId="0" borderId="1" xfId="0" applyBorder="1" applyProtection="1">
      <protection hidden="1"/>
    </xf>
    <xf numFmtId="0" fontId="0" fillId="0" borderId="29" xfId="0" applyBorder="1" applyProtection="1">
      <protection hidden="1"/>
    </xf>
    <xf numFmtId="0" fontId="8" fillId="0" borderId="0" xfId="0" applyFont="1" applyAlignment="1"/>
    <xf numFmtId="0" fontId="12" fillId="0" borderId="0" xfId="0" applyFont="1"/>
    <xf numFmtId="0" fontId="0" fillId="0" borderId="0" xfId="0" applyProtection="1">
      <protection locked="0"/>
    </xf>
    <xf numFmtId="0" fontId="14" fillId="0" borderId="0" xfId="0" applyFont="1" applyAlignment="1"/>
    <xf numFmtId="0" fontId="3" fillId="0" borderId="0" xfId="0" applyFont="1"/>
    <xf numFmtId="0" fontId="13" fillId="0" borderId="0" xfId="0" applyFont="1" applyAlignment="1" applyProtection="1">
      <protection hidden="1"/>
    </xf>
    <xf numFmtId="0" fontId="12" fillId="0" borderId="0" xfId="0" applyFont="1" applyProtection="1">
      <protection hidden="1"/>
    </xf>
    <xf numFmtId="0" fontId="8" fillId="0" borderId="0" xfId="0" applyFont="1" applyBorder="1" applyAlignment="1" applyProtection="1">
      <protection hidden="1"/>
    </xf>
    <xf numFmtId="0" fontId="9" fillId="0" borderId="0"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8" fillId="0" borderId="0" xfId="0" applyFont="1" applyAlignment="1" applyProtection="1">
      <protection hidden="1"/>
    </xf>
    <xf numFmtId="0" fontId="8" fillId="0" borderId="0" xfId="0" applyFont="1" applyBorder="1" applyAlignment="1" applyProtection="1">
      <alignment horizontal="left"/>
      <protection hidden="1"/>
    </xf>
    <xf numFmtId="0" fontId="8" fillId="0" borderId="0" xfId="0" applyFont="1" applyBorder="1" applyAlignment="1" applyProtection="1">
      <alignment vertical="center" wrapText="1"/>
      <protection hidden="1"/>
    </xf>
    <xf numFmtId="0" fontId="8" fillId="0" borderId="0" xfId="0" applyFont="1" applyBorder="1" applyAlignment="1" applyProtection="1">
      <alignment horizontal="left" vertical="center" wrapText="1"/>
      <protection hidden="1"/>
    </xf>
    <xf numFmtId="0" fontId="0" fillId="0" borderId="0" xfId="0" applyAlignment="1" applyProtection="1">
      <alignment horizontal="right"/>
      <protection hidden="1"/>
    </xf>
    <xf numFmtId="2" fontId="0" fillId="0" borderId="0" xfId="0" applyNumberFormat="1" applyProtection="1">
      <protection hidden="1"/>
    </xf>
    <xf numFmtId="164" fontId="0" fillId="0" borderId="0" xfId="0" applyNumberFormat="1" applyProtection="1">
      <protection hidden="1"/>
    </xf>
    <xf numFmtId="1" fontId="0" fillId="0" borderId="0" xfId="0" applyNumberFormat="1" applyProtection="1">
      <protection hidden="1"/>
    </xf>
    <xf numFmtId="166" fontId="0" fillId="0" borderId="0" xfId="0" applyNumberFormat="1" applyProtection="1">
      <protection hidden="1"/>
    </xf>
    <xf numFmtId="0" fontId="0" fillId="0" borderId="0" xfId="0" applyFill="1" applyBorder="1" applyProtection="1">
      <protection hidden="1"/>
    </xf>
    <xf numFmtId="0" fontId="0" fillId="0" borderId="15" xfId="0" applyBorder="1" applyProtection="1">
      <protection hidden="1"/>
    </xf>
    <xf numFmtId="0" fontId="15" fillId="3" borderId="0" xfId="0" applyFont="1" applyFill="1" applyBorder="1" applyAlignment="1" applyProtection="1">
      <alignment vertical="center"/>
      <protection hidden="1"/>
    </xf>
    <xf numFmtId="0" fontId="0" fillId="0" borderId="0" xfId="0" applyFill="1"/>
    <xf numFmtId="0" fontId="10" fillId="0" borderId="0" xfId="0" applyFont="1" applyAlignment="1">
      <alignment vertical="center" wrapText="1"/>
    </xf>
    <xf numFmtId="0" fontId="0" fillId="0" borderId="0" xfId="0" applyAlignment="1" applyProtection="1">
      <alignment horizontal="center" wrapText="1"/>
      <protection hidden="1"/>
    </xf>
    <xf numFmtId="0" fontId="3" fillId="0" borderId="26" xfId="0" applyFont="1" applyBorder="1" applyProtection="1">
      <protection hidden="1"/>
    </xf>
    <xf numFmtId="0" fontId="3" fillId="0" borderId="31" xfId="0" applyFont="1" applyBorder="1" applyProtection="1">
      <protection hidden="1"/>
    </xf>
    <xf numFmtId="168" fontId="0" fillId="0" borderId="28" xfId="0" applyNumberFormat="1" applyBorder="1" applyProtection="1">
      <protection hidden="1"/>
    </xf>
    <xf numFmtId="0" fontId="3" fillId="0" borderId="0" xfId="0" applyFont="1" applyBorder="1" applyAlignment="1" applyProtection="1">
      <alignment horizontal="center" vertical="center"/>
      <protection hidden="1"/>
    </xf>
    <xf numFmtId="0" fontId="0" fillId="13" borderId="0" xfId="0" applyFill="1" applyProtection="1">
      <protection hidden="1"/>
    </xf>
    <xf numFmtId="0" fontId="0" fillId="0" borderId="0" xfId="0" applyFill="1" applyProtection="1">
      <protection hidden="1"/>
    </xf>
    <xf numFmtId="0" fontId="3" fillId="0" borderId="0" xfId="0" applyFont="1" applyProtection="1">
      <protection hidden="1"/>
    </xf>
    <xf numFmtId="0" fontId="0" fillId="15" borderId="1" xfId="0" applyFill="1" applyBorder="1"/>
    <xf numFmtId="0" fontId="3" fillId="15" borderId="1" xfId="0" applyFont="1" applyFill="1" applyBorder="1"/>
    <xf numFmtId="0" fontId="8" fillId="0" borderId="0" xfId="0" applyFont="1" applyBorder="1" applyAlignment="1" applyProtection="1">
      <alignment horizontal="right"/>
      <protection hidden="1"/>
    </xf>
    <xf numFmtId="0" fontId="3" fillId="0" borderId="24" xfId="0" applyFont="1" applyBorder="1" applyProtection="1">
      <protection hidden="1"/>
    </xf>
    <xf numFmtId="168" fontId="0" fillId="0" borderId="27" xfId="0" applyNumberFormat="1" applyBorder="1" applyProtection="1">
      <protection hidden="1"/>
    </xf>
    <xf numFmtId="0" fontId="3" fillId="0" borderId="29" xfId="0" applyFont="1" applyBorder="1" applyProtection="1">
      <protection hidden="1"/>
    </xf>
    <xf numFmtId="168" fontId="0" fillId="0" borderId="16" xfId="0" applyNumberFormat="1" applyBorder="1" applyProtection="1">
      <protection hidden="1"/>
    </xf>
    <xf numFmtId="168" fontId="0" fillId="0" borderId="15" xfId="0" applyNumberFormat="1" applyBorder="1" applyProtection="1">
      <protection hidden="1"/>
    </xf>
    <xf numFmtId="0" fontId="3" fillId="0" borderId="17" xfId="0" applyFont="1" applyBorder="1" applyProtection="1">
      <protection hidden="1"/>
    </xf>
    <xf numFmtId="0" fontId="3" fillId="0" borderId="14" xfId="0" applyFont="1" applyBorder="1" applyProtection="1">
      <protection hidden="1"/>
    </xf>
    <xf numFmtId="0" fontId="0" fillId="13" borderId="0" xfId="0" applyFill="1"/>
    <xf numFmtId="0" fontId="0" fillId="0" borderId="0" xfId="0" applyFill="1" applyAlignment="1">
      <alignment wrapText="1"/>
    </xf>
    <xf numFmtId="10" fontId="0" fillId="13" borderId="0" xfId="0" applyNumberFormat="1" applyFill="1"/>
    <xf numFmtId="0" fontId="0" fillId="16" borderId="0" xfId="0" applyFill="1"/>
    <xf numFmtId="2" fontId="0" fillId="16" borderId="0" xfId="0" applyNumberFormat="1" applyFill="1"/>
    <xf numFmtId="0" fontId="0" fillId="16" borderId="0" xfId="0" applyFill="1" applyBorder="1"/>
    <xf numFmtId="10" fontId="3" fillId="16" borderId="0" xfId="0" applyNumberFormat="1" applyFont="1" applyFill="1" applyBorder="1"/>
    <xf numFmtId="2" fontId="3" fillId="16" borderId="0" xfId="0" applyNumberFormat="1" applyFont="1" applyFill="1" applyBorder="1"/>
    <xf numFmtId="2" fontId="0" fillId="0" borderId="0" xfId="0" applyNumberFormat="1" applyFill="1" applyProtection="1">
      <protection hidden="1"/>
    </xf>
    <xf numFmtId="0" fontId="19" fillId="0" borderId="0" xfId="0" applyFont="1" applyProtection="1">
      <protection hidden="1"/>
    </xf>
    <xf numFmtId="0" fontId="19" fillId="0" borderId="0" xfId="0" applyFont="1"/>
    <xf numFmtId="0" fontId="20" fillId="0" borderId="0" xfId="0" applyFont="1"/>
    <xf numFmtId="0" fontId="21" fillId="0" borderId="0" xfId="0" applyFont="1" applyAlignment="1"/>
    <xf numFmtId="0" fontId="19" fillId="0" borderId="0" xfId="0" applyFont="1" applyAlignment="1" applyProtection="1">
      <alignment horizontal="center" vertical="center"/>
      <protection hidden="1"/>
    </xf>
    <xf numFmtId="0" fontId="19" fillId="0" borderId="0" xfId="0" applyFont="1" applyBorder="1"/>
    <xf numFmtId="0" fontId="19" fillId="0" borderId="0" xfId="0" applyFont="1" applyBorder="1" applyProtection="1">
      <protection hidden="1"/>
    </xf>
    <xf numFmtId="0" fontId="19" fillId="0" borderId="0" xfId="0" applyFont="1" applyFill="1" applyBorder="1" applyProtection="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vertical="center"/>
      <protection hidden="1"/>
    </xf>
    <xf numFmtId="0" fontId="21" fillId="0" borderId="0" xfId="0" applyFont="1" applyAlignment="1">
      <alignment vertical="center" wrapText="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pplyProtection="1">
      <alignment vertical="center"/>
      <protection hidden="1"/>
    </xf>
    <xf numFmtId="0" fontId="26" fillId="0" borderId="0" xfId="0" applyFont="1" applyFill="1" applyBorder="1" applyAlignment="1" applyProtection="1">
      <alignment horizontal="left" vertical="center"/>
      <protection hidden="1"/>
    </xf>
    <xf numFmtId="0" fontId="21" fillId="0" borderId="0" xfId="0" applyFont="1" applyFill="1"/>
    <xf numFmtId="0" fontId="19" fillId="0" borderId="0" xfId="0" applyFont="1" applyFill="1"/>
    <xf numFmtId="0" fontId="21" fillId="0" borderId="0" xfId="0" applyFont="1" applyBorder="1" applyAlignment="1"/>
    <xf numFmtId="0" fontId="23" fillId="0" borderId="0" xfId="0" applyFont="1" applyBorder="1" applyAlignment="1"/>
    <xf numFmtId="0" fontId="21" fillId="0" borderId="0" xfId="0" applyFont="1" applyBorder="1"/>
    <xf numFmtId="0" fontId="16" fillId="0" borderId="0" xfId="0" applyFont="1"/>
    <xf numFmtId="0" fontId="19" fillId="0" borderId="0" xfId="0" applyFont="1" applyAlignment="1">
      <alignment horizontal="right"/>
    </xf>
    <xf numFmtId="0" fontId="19" fillId="0" borderId="24" xfId="0" applyFont="1" applyBorder="1"/>
    <xf numFmtId="0" fontId="19" fillId="0" borderId="25" xfId="0" applyFont="1" applyBorder="1"/>
    <xf numFmtId="0" fontId="19" fillId="0" borderId="0" xfId="0" applyFont="1" applyAlignment="1">
      <alignment horizontal="center"/>
    </xf>
    <xf numFmtId="0" fontId="19" fillId="0" borderId="0" xfId="0" applyFont="1" applyBorder="1" applyAlignment="1">
      <alignment horizontal="center"/>
    </xf>
    <xf numFmtId="0" fontId="19" fillId="0" borderId="0" xfId="0" quotePrefix="1" applyFont="1"/>
    <xf numFmtId="0" fontId="19" fillId="0" borderId="0" xfId="0" applyFont="1" applyBorder="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36" xfId="0" applyFont="1" applyBorder="1" applyAlignment="1">
      <alignment horizontal="center" wrapText="1"/>
    </xf>
    <xf numFmtId="0" fontId="19" fillId="0" borderId="37" xfId="0" applyFont="1" applyBorder="1" applyAlignment="1">
      <alignment horizontal="center"/>
    </xf>
    <xf numFmtId="0" fontId="19" fillId="13" borderId="38" xfId="0" applyFont="1" applyFill="1" applyBorder="1" applyAlignment="1">
      <alignment horizontal="center" wrapText="1"/>
    </xf>
    <xf numFmtId="0" fontId="19" fillId="0" borderId="36" xfId="0" applyFont="1" applyBorder="1" applyAlignment="1">
      <alignment horizontal="center"/>
    </xf>
    <xf numFmtId="0" fontId="19" fillId="0" borderId="0" xfId="0" applyFont="1" applyAlignment="1"/>
    <xf numFmtId="0" fontId="19" fillId="0" borderId="37" xfId="0" applyFont="1" applyBorder="1" applyAlignment="1">
      <alignment horizontal="center" wrapText="1"/>
    </xf>
    <xf numFmtId="0" fontId="19" fillId="13" borderId="38" xfId="0" applyFont="1" applyFill="1" applyBorder="1" applyAlignment="1">
      <alignment horizontal="center"/>
    </xf>
    <xf numFmtId="0" fontId="19" fillId="0" borderId="16" xfId="0" applyFont="1" applyBorder="1"/>
    <xf numFmtId="1" fontId="19" fillId="0" borderId="0" xfId="0" applyNumberFormat="1" applyFont="1"/>
    <xf numFmtId="0" fontId="19" fillId="0" borderId="0" xfId="0" applyFont="1" applyAlignment="1">
      <alignment horizontal="center" vertical="center" wrapText="1"/>
    </xf>
    <xf numFmtId="2" fontId="19" fillId="0" borderId="0" xfId="0" applyNumberFormat="1" applyFont="1" applyAlignment="1">
      <alignment horizontal="center" vertical="center" wrapText="1"/>
    </xf>
    <xf numFmtId="164" fontId="19" fillId="0" borderId="1" xfId="0" applyNumberFormat="1" applyFont="1" applyBorder="1" applyAlignment="1">
      <alignment horizontal="center" vertical="center" wrapText="1"/>
    </xf>
    <xf numFmtId="10" fontId="19" fillId="0" borderId="0" xfId="0" applyNumberFormat="1" applyFont="1" applyAlignment="1">
      <alignment horizontal="center" vertical="center" wrapText="1"/>
    </xf>
    <xf numFmtId="164" fontId="19" fillId="0" borderId="0" xfId="0" applyNumberFormat="1" applyFont="1" applyAlignment="1">
      <alignment horizontal="center" vertical="center" wrapText="1"/>
    </xf>
    <xf numFmtId="2" fontId="19" fillId="0" borderId="0" xfId="0" applyNumberFormat="1" applyFont="1"/>
    <xf numFmtId="164" fontId="19" fillId="0" borderId="1" xfId="0" applyNumberFormat="1" applyFont="1" applyBorder="1" applyAlignment="1">
      <alignment horizontal="right"/>
    </xf>
    <xf numFmtId="10" fontId="19" fillId="0" borderId="0" xfId="0" applyNumberFormat="1" applyFont="1"/>
    <xf numFmtId="164" fontId="19" fillId="0" borderId="0" xfId="0" applyNumberFormat="1" applyFont="1"/>
    <xf numFmtId="0" fontId="19" fillId="13" borderId="0" xfId="0" applyFont="1" applyFill="1"/>
    <xf numFmtId="0" fontId="19" fillId="0" borderId="35" xfId="0" applyFont="1" applyBorder="1" applyAlignment="1">
      <alignment wrapText="1"/>
    </xf>
    <xf numFmtId="0" fontId="19" fillId="0" borderId="6" xfId="0" applyFont="1" applyBorder="1" applyAlignment="1">
      <alignment wrapText="1"/>
    </xf>
    <xf numFmtId="0" fontId="19" fillId="0" borderId="1" xfId="0" applyFont="1" applyBorder="1"/>
    <xf numFmtId="2" fontId="19" fillId="0" borderId="1" xfId="0" applyNumberFormat="1" applyFont="1" applyBorder="1"/>
    <xf numFmtId="2" fontId="19" fillId="0" borderId="0" xfId="0" applyNumberFormat="1" applyFont="1" applyAlignment="1">
      <alignment horizontal="center" wrapText="1"/>
    </xf>
    <xf numFmtId="2" fontId="19" fillId="13" borderId="0" xfId="0" applyNumberFormat="1" applyFont="1" applyFill="1"/>
    <xf numFmtId="2" fontId="19" fillId="18" borderId="41" xfId="0" applyNumberFormat="1" applyFont="1" applyFill="1" applyBorder="1"/>
    <xf numFmtId="0" fontId="19" fillId="18" borderId="18" xfId="0" applyFont="1" applyFill="1" applyBorder="1"/>
    <xf numFmtId="2" fontId="19" fillId="18" borderId="18" xfId="0" applyNumberFormat="1" applyFont="1" applyFill="1" applyBorder="1"/>
    <xf numFmtId="0" fontId="19" fillId="18" borderId="19" xfId="0" applyFont="1" applyFill="1" applyBorder="1"/>
    <xf numFmtId="0" fontId="19" fillId="13" borderId="0" xfId="0" applyFont="1" applyFill="1" applyAlignment="1">
      <alignment horizontal="center" wrapText="1"/>
    </xf>
    <xf numFmtId="0" fontId="19" fillId="0" borderId="1" xfId="0" applyFont="1" applyBorder="1" applyAlignment="1">
      <alignment horizontal="center" wrapText="1"/>
    </xf>
    <xf numFmtId="0" fontId="19" fillId="0" borderId="24" xfId="0" applyFont="1" applyBorder="1" applyAlignment="1">
      <alignment horizontal="center" wrapText="1"/>
    </xf>
    <xf numFmtId="0" fontId="19" fillId="0" borderId="25" xfId="0" applyFont="1" applyBorder="1" applyAlignment="1">
      <alignment horizontal="center" wrapText="1"/>
    </xf>
    <xf numFmtId="9" fontId="19" fillId="0" borderId="26" xfId="0" applyNumberFormat="1" applyFont="1" applyBorder="1" applyAlignment="1">
      <alignment horizontal="center" wrapText="1"/>
    </xf>
    <xf numFmtId="2" fontId="19" fillId="18" borderId="16" xfId="0" applyNumberFormat="1" applyFont="1" applyFill="1" applyBorder="1" applyAlignment="1">
      <alignment horizontal="center" wrapText="1"/>
    </xf>
    <xf numFmtId="0" fontId="19" fillId="18" borderId="1" xfId="0" applyFont="1" applyFill="1" applyBorder="1" applyAlignment="1">
      <alignment horizontal="center" wrapText="1"/>
    </xf>
    <xf numFmtId="0" fontId="19" fillId="18" borderId="15" xfId="0" applyFont="1" applyFill="1" applyBorder="1" applyAlignment="1">
      <alignment horizontal="center" wrapText="1"/>
    </xf>
    <xf numFmtId="0" fontId="19" fillId="0" borderId="27" xfId="0" applyFont="1" applyBorder="1"/>
    <xf numFmtId="0" fontId="19" fillId="0" borderId="0" xfId="0" applyFont="1" applyBorder="1" applyAlignment="1"/>
    <xf numFmtId="10" fontId="19" fillId="0" borderId="0" xfId="0" applyNumberFormat="1" applyFont="1" applyBorder="1" applyAlignment="1"/>
    <xf numFmtId="2" fontId="19" fillId="0" borderId="0" xfId="0" applyNumberFormat="1" applyFont="1" applyBorder="1" applyAlignment="1"/>
    <xf numFmtId="2" fontId="19" fillId="13" borderId="28" xfId="0" applyNumberFormat="1" applyFont="1" applyFill="1" applyBorder="1" applyAlignment="1"/>
    <xf numFmtId="2" fontId="19" fillId="0" borderId="0" xfId="0" applyNumberFormat="1" applyFont="1" applyAlignment="1"/>
    <xf numFmtId="2" fontId="19" fillId="18" borderId="16" xfId="0" applyNumberFormat="1" applyFont="1" applyFill="1" applyBorder="1"/>
    <xf numFmtId="0" fontId="19" fillId="18" borderId="1" xfId="0" applyFont="1" applyFill="1" applyBorder="1"/>
    <xf numFmtId="2" fontId="19" fillId="18" borderId="1" xfId="0" applyNumberFormat="1" applyFont="1" applyFill="1" applyBorder="1"/>
    <xf numFmtId="0" fontId="19" fillId="18" borderId="15" xfId="0" applyFont="1" applyFill="1" applyBorder="1"/>
    <xf numFmtId="168" fontId="19" fillId="0" borderId="0" xfId="0" applyNumberFormat="1" applyFont="1"/>
    <xf numFmtId="2" fontId="19" fillId="0" borderId="0" xfId="0" applyNumberFormat="1" applyFont="1" applyBorder="1"/>
    <xf numFmtId="0" fontId="19" fillId="0" borderId="28" xfId="0" applyFont="1" applyBorder="1"/>
    <xf numFmtId="0" fontId="19" fillId="18" borderId="16" xfId="0" applyFont="1" applyFill="1" applyBorder="1"/>
    <xf numFmtId="168" fontId="19" fillId="0" borderId="0" xfId="0" applyNumberFormat="1" applyFont="1" applyBorder="1"/>
    <xf numFmtId="2" fontId="19" fillId="13" borderId="0" xfId="0" applyNumberFormat="1" applyFont="1" applyFill="1" applyBorder="1"/>
    <xf numFmtId="0" fontId="19" fillId="0" borderId="3" xfId="0" applyFont="1" applyBorder="1" applyAlignment="1">
      <alignment horizontal="right"/>
    </xf>
    <xf numFmtId="2" fontId="19" fillId="0" borderId="9" xfId="0" applyNumberFormat="1" applyFont="1" applyBorder="1"/>
    <xf numFmtId="10" fontId="19" fillId="13" borderId="0" xfId="0" applyNumberFormat="1" applyFont="1" applyFill="1" applyBorder="1"/>
    <xf numFmtId="0" fontId="19" fillId="18" borderId="17" xfId="0" applyFont="1" applyFill="1" applyBorder="1"/>
    <xf numFmtId="0" fontId="19" fillId="18" borderId="20" xfId="0" applyFont="1" applyFill="1" applyBorder="1"/>
    <xf numFmtId="0" fontId="19" fillId="18" borderId="62" xfId="0" applyFont="1" applyFill="1" applyBorder="1"/>
    <xf numFmtId="0" fontId="19" fillId="18" borderId="0" xfId="0" applyFont="1" applyFill="1"/>
    <xf numFmtId="0" fontId="19" fillId="18" borderId="38" xfId="0" applyFont="1" applyFill="1" applyBorder="1"/>
    <xf numFmtId="0" fontId="22" fillId="0" borderId="0" xfId="0" applyFont="1"/>
    <xf numFmtId="10" fontId="19" fillId="0" borderId="0" xfId="0" applyNumberFormat="1" applyFont="1" applyBorder="1"/>
    <xf numFmtId="0" fontId="19" fillId="0" borderId="0" xfId="0" applyFont="1" applyBorder="1" applyAlignment="1">
      <alignment horizontal="right"/>
    </xf>
    <xf numFmtId="1" fontId="19" fillId="0" borderId="28" xfId="0" applyNumberFormat="1" applyFont="1" applyBorder="1"/>
    <xf numFmtId="2" fontId="19" fillId="18" borderId="62" xfId="0" applyNumberFormat="1" applyFont="1" applyFill="1" applyBorder="1"/>
    <xf numFmtId="165" fontId="19" fillId="13" borderId="0" xfId="0" applyNumberFormat="1" applyFont="1" applyFill="1"/>
    <xf numFmtId="0" fontId="19" fillId="0" borderId="0" xfId="0" quotePrefix="1" applyFont="1" applyBorder="1"/>
    <xf numFmtId="164" fontId="19" fillId="0" borderId="0" xfId="0" applyNumberFormat="1" applyFont="1" applyBorder="1"/>
    <xf numFmtId="0" fontId="19" fillId="13" borderId="0" xfId="0" applyFont="1" applyFill="1" applyBorder="1"/>
    <xf numFmtId="0" fontId="19" fillId="0" borderId="3" xfId="0" applyFont="1" applyBorder="1"/>
    <xf numFmtId="2" fontId="19" fillId="13" borderId="4" xfId="0" applyNumberFormat="1" applyFont="1" applyFill="1" applyBorder="1" applyAlignment="1">
      <alignment horizontal="right"/>
    </xf>
    <xf numFmtId="167" fontId="19" fillId="0" borderId="0" xfId="0" applyNumberFormat="1" applyFont="1"/>
    <xf numFmtId="2" fontId="19" fillId="0" borderId="0" xfId="0" applyNumberFormat="1" applyFont="1" applyAlignment="1">
      <alignment horizontal="left"/>
    </xf>
    <xf numFmtId="0" fontId="19" fillId="0" borderId="0" xfId="0" quotePrefix="1" applyFont="1" applyFill="1" applyBorder="1" applyAlignment="1">
      <alignment horizontal="right"/>
    </xf>
    <xf numFmtId="2" fontId="19" fillId="0" borderId="0" xfId="0" applyNumberFormat="1" applyFont="1" applyAlignment="1">
      <alignment horizontal="right"/>
    </xf>
    <xf numFmtId="2" fontId="16" fillId="0" borderId="0" xfId="0" applyNumberFormat="1" applyFont="1"/>
    <xf numFmtId="2" fontId="19" fillId="0" borderId="0" xfId="0" applyNumberFormat="1" applyFont="1" applyBorder="1" applyAlignment="1">
      <alignment wrapText="1"/>
    </xf>
    <xf numFmtId="10" fontId="16" fillId="0" borderId="0" xfId="0" applyNumberFormat="1" applyFont="1" applyBorder="1" applyAlignment="1"/>
    <xf numFmtId="0" fontId="19" fillId="0" borderId="28" xfId="0" applyFont="1" applyBorder="1" applyAlignment="1"/>
    <xf numFmtId="10" fontId="19" fillId="0" borderId="0" xfId="0" applyNumberFormat="1" applyFont="1" applyAlignment="1">
      <alignment wrapText="1"/>
    </xf>
    <xf numFmtId="2" fontId="19" fillId="0" borderId="0" xfId="0" applyNumberFormat="1" applyFont="1" applyAlignment="1">
      <alignment wrapText="1"/>
    </xf>
    <xf numFmtId="0" fontId="16" fillId="0" borderId="11" xfId="0" applyFont="1" applyBorder="1" applyAlignment="1">
      <alignment wrapText="1"/>
    </xf>
    <xf numFmtId="164" fontId="19" fillId="0" borderId="0" xfId="0" applyNumberFormat="1" applyFont="1" applyAlignment="1">
      <alignment wrapText="1"/>
    </xf>
    <xf numFmtId="2" fontId="19" fillId="0" borderId="27" xfId="0" applyNumberFormat="1" applyFont="1" applyBorder="1" applyAlignment="1">
      <alignment wrapText="1"/>
    </xf>
    <xf numFmtId="168" fontId="19" fillId="0" borderId="0" xfId="0" applyNumberFormat="1" applyFont="1" applyBorder="1" applyAlignment="1">
      <alignment wrapText="1"/>
    </xf>
    <xf numFmtId="0" fontId="19" fillId="0" borderId="28" xfId="0" applyFont="1" applyBorder="1" applyAlignment="1">
      <alignment wrapText="1"/>
    </xf>
    <xf numFmtId="0" fontId="19" fillId="0" borderId="26" xfId="0" applyFont="1" applyBorder="1"/>
    <xf numFmtId="2" fontId="19" fillId="0" borderId="0" xfId="0" applyNumberFormat="1" applyFont="1" applyBorder="1" applyAlignment="1">
      <alignment horizontal="right"/>
    </xf>
    <xf numFmtId="169" fontId="19" fillId="0" borderId="0" xfId="0" applyNumberFormat="1" applyFont="1"/>
    <xf numFmtId="171" fontId="16" fillId="0" borderId="0" xfId="0" applyNumberFormat="1" applyFont="1"/>
    <xf numFmtId="165" fontId="19" fillId="0" borderId="0" xfId="0" applyNumberFormat="1" applyFont="1" applyBorder="1" applyAlignment="1"/>
    <xf numFmtId="0" fontId="19" fillId="0" borderId="27" xfId="0" applyFont="1" applyBorder="1" applyAlignment="1">
      <alignment horizontal="right"/>
    </xf>
    <xf numFmtId="0" fontId="19" fillId="0" borderId="29" xfId="0" applyFont="1" applyBorder="1"/>
    <xf numFmtId="0" fontId="19" fillId="0" borderId="30" xfId="0" applyFont="1" applyBorder="1"/>
    <xf numFmtId="2" fontId="19" fillId="0" borderId="30" xfId="0" applyNumberFormat="1" applyFont="1" applyBorder="1"/>
    <xf numFmtId="2" fontId="19" fillId="0" borderId="31" xfId="0" applyNumberFormat="1" applyFont="1" applyBorder="1"/>
    <xf numFmtId="165" fontId="19" fillId="0" borderId="0" xfId="0" applyNumberFormat="1" applyFont="1"/>
    <xf numFmtId="0" fontId="24" fillId="0" borderId="0" xfId="0" applyFont="1" applyFill="1"/>
    <xf numFmtId="0" fontId="28" fillId="0" borderId="0" xfId="0" applyFont="1"/>
    <xf numFmtId="168" fontId="19" fillId="0" borderId="0" xfId="0" applyNumberFormat="1" applyFont="1" applyAlignment="1">
      <alignment horizontal="center"/>
    </xf>
    <xf numFmtId="0" fontId="17" fillId="0" borderId="0" xfId="0" applyFont="1"/>
    <xf numFmtId="49" fontId="21" fillId="0" borderId="0" xfId="0" applyNumberFormat="1" applyFont="1" applyAlignment="1">
      <alignment horizontal="right" vertical="center"/>
    </xf>
    <xf numFmtId="49" fontId="21" fillId="0" borderId="0" xfId="0" applyNumberFormat="1" applyFont="1" applyAlignment="1">
      <alignment vertical="center"/>
    </xf>
    <xf numFmtId="0" fontId="17" fillId="0" borderId="0" xfId="0" applyFont="1" applyAlignment="1">
      <alignment vertical="center"/>
    </xf>
    <xf numFmtId="0" fontId="19" fillId="0" borderId="0" xfId="0" applyFont="1" applyAlignment="1">
      <alignment horizontal="center" wrapText="1"/>
    </xf>
    <xf numFmtId="0" fontId="1" fillId="0" borderId="0" xfId="0" applyFont="1"/>
    <xf numFmtId="0" fontId="19" fillId="0" borderId="0" xfId="0" applyFont="1" applyAlignment="1">
      <alignment horizontal="center" wrapText="1"/>
    </xf>
    <xf numFmtId="0" fontId="1" fillId="0" borderId="1" xfId="0" applyFont="1" applyBorder="1"/>
    <xf numFmtId="0" fontId="1" fillId="0" borderId="16" xfId="0" applyFont="1" applyBorder="1"/>
    <xf numFmtId="0" fontId="0" fillId="0" borderId="15" xfId="0" applyBorder="1"/>
    <xf numFmtId="0" fontId="0" fillId="0" borderId="16" xfId="0" applyBorder="1"/>
    <xf numFmtId="0" fontId="1" fillId="0" borderId="17" xfId="0" applyFont="1" applyBorder="1"/>
    <xf numFmtId="2" fontId="0" fillId="0" borderId="12" xfId="0" applyNumberFormat="1" applyBorder="1"/>
    <xf numFmtId="0" fontId="1" fillId="0" borderId="12" xfId="0" applyFont="1" applyBorder="1"/>
    <xf numFmtId="2" fontId="19" fillId="0" borderId="15" xfId="0" applyNumberFormat="1" applyFont="1" applyBorder="1"/>
    <xf numFmtId="2" fontId="0" fillId="0" borderId="15" xfId="0" applyNumberFormat="1" applyBorder="1"/>
    <xf numFmtId="0" fontId="0" fillId="0" borderId="12" xfId="0" applyBorder="1"/>
    <xf numFmtId="2" fontId="0" fillId="0" borderId="14" xfId="0" applyNumberFormat="1" applyBorder="1"/>
    <xf numFmtId="0" fontId="1" fillId="0" borderId="0" xfId="0" applyFont="1" applyAlignment="1">
      <alignment horizontal="right"/>
    </xf>
    <xf numFmtId="165" fontId="29" fillId="0" borderId="0" xfId="0" applyNumberFormat="1" applyFont="1" applyBorder="1"/>
    <xf numFmtId="0" fontId="29" fillId="0" borderId="0" xfId="0" applyFont="1" applyBorder="1"/>
    <xf numFmtId="0" fontId="1" fillId="0" borderId="0" xfId="0" applyFont="1" applyProtection="1">
      <protection hidden="1"/>
    </xf>
    <xf numFmtId="0" fontId="32" fillId="0" borderId="1" xfId="0" applyFont="1" applyFill="1" applyBorder="1" applyAlignment="1">
      <alignment horizontal="left"/>
    </xf>
    <xf numFmtId="0" fontId="32" fillId="0" borderId="1" xfId="0" applyFont="1" applyFill="1" applyBorder="1"/>
    <xf numFmtId="0" fontId="1" fillId="17" borderId="0" xfId="0" applyFont="1" applyFill="1"/>
    <xf numFmtId="0" fontId="33" fillId="19" borderId="1" xfId="0" applyFont="1" applyFill="1" applyBorder="1" applyAlignment="1">
      <alignment horizontal="center" vertical="center" wrapText="1"/>
    </xf>
    <xf numFmtId="0" fontId="33" fillId="20" borderId="16"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33" fillId="20" borderId="15" xfId="0" applyFont="1" applyFill="1" applyBorder="1" applyAlignment="1">
      <alignment horizontal="center" vertical="center" wrapText="1"/>
    </xf>
    <xf numFmtId="0" fontId="35" fillId="0" borderId="1" xfId="0" applyFont="1" applyFill="1" applyBorder="1" applyAlignment="1">
      <alignment horizontal="left" wrapText="1"/>
    </xf>
    <xf numFmtId="0" fontId="35" fillId="0" borderId="35" xfId="0" applyFont="1" applyFill="1" applyBorder="1" applyAlignment="1">
      <alignment horizontal="left"/>
    </xf>
    <xf numFmtId="0" fontId="36" fillId="19" borderId="1" xfId="0" applyFont="1" applyFill="1" applyBorder="1" applyAlignment="1">
      <alignment horizontal="center"/>
    </xf>
    <xf numFmtId="0" fontId="36" fillId="20" borderId="16" xfId="0" applyFont="1" applyFill="1" applyBorder="1" applyAlignment="1">
      <alignment horizontal="center"/>
    </xf>
    <xf numFmtId="0" fontId="36" fillId="20" borderId="1" xfId="0" applyFont="1" applyFill="1" applyBorder="1" applyAlignment="1">
      <alignment horizontal="center"/>
    </xf>
    <xf numFmtId="0" fontId="35" fillId="0" borderId="1" xfId="0" applyFont="1" applyFill="1" applyBorder="1" applyAlignment="1">
      <alignment horizontal="left"/>
    </xf>
    <xf numFmtId="0" fontId="36" fillId="20" borderId="15" xfId="0" applyFont="1" applyFill="1" applyBorder="1" applyAlignment="1">
      <alignment horizontal="center"/>
    </xf>
    <xf numFmtId="0" fontId="0" fillId="0" borderId="0" xfId="0" applyBorder="1" applyAlignment="1">
      <alignment horizontal="center" vertical="center"/>
    </xf>
    <xf numFmtId="0" fontId="1" fillId="0" borderId="0" xfId="0" applyFont="1" applyAlignment="1">
      <alignment horizontal="left"/>
    </xf>
    <xf numFmtId="0" fontId="37" fillId="0" borderId="0" xfId="0" applyFont="1" applyAlignment="1">
      <alignment horizontal="left"/>
    </xf>
    <xf numFmtId="0" fontId="36" fillId="19" borderId="12" xfId="0" applyFont="1" applyFill="1" applyBorder="1" applyAlignment="1">
      <alignment horizontal="center"/>
    </xf>
    <xf numFmtId="0" fontId="36" fillId="20" borderId="17" xfId="0" applyFont="1" applyFill="1" applyBorder="1" applyAlignment="1">
      <alignment horizontal="center"/>
    </xf>
    <xf numFmtId="0" fontId="36" fillId="20" borderId="12" xfId="0" applyFont="1" applyFill="1" applyBorder="1" applyAlignment="1">
      <alignment horizontal="center"/>
    </xf>
    <xf numFmtId="0" fontId="35" fillId="0" borderId="35" xfId="0" applyFont="1" applyFill="1" applyBorder="1" applyAlignment="1">
      <alignment horizontal="left" wrapText="1"/>
    </xf>
    <xf numFmtId="0" fontId="8" fillId="0" borderId="0" xfId="0" applyFont="1" applyAlignment="1">
      <alignment horizontal="left"/>
    </xf>
    <xf numFmtId="0" fontId="35" fillId="0" borderId="35" xfId="0" applyFont="1" applyFill="1" applyBorder="1" applyAlignment="1" applyProtection="1">
      <alignment horizontal="left"/>
      <protection locked="0"/>
    </xf>
    <xf numFmtId="164" fontId="1" fillId="0" borderId="0" xfId="0" applyNumberFormat="1" applyFont="1" applyAlignment="1">
      <alignment horizontal="right"/>
    </xf>
    <xf numFmtId="0" fontId="1" fillId="0" borderId="1" xfId="0" applyFont="1" applyBorder="1" applyAlignment="1">
      <alignment horizontal="left"/>
    </xf>
    <xf numFmtId="0" fontId="1" fillId="0" borderId="0" xfId="0" applyFont="1" applyFill="1" applyBorder="1" applyAlignment="1">
      <alignment horizontal="left"/>
    </xf>
    <xf numFmtId="0" fontId="1" fillId="0" borderId="0" xfId="0" applyFont="1" applyFill="1" applyBorder="1"/>
    <xf numFmtId="0" fontId="1" fillId="17" borderId="0" xfId="0" applyFont="1" applyFill="1" applyBorder="1"/>
    <xf numFmtId="0" fontId="35" fillId="0" borderId="0" xfId="0" applyFont="1" applyFill="1" applyBorder="1" applyAlignment="1">
      <alignment horizontal="left"/>
    </xf>
    <xf numFmtId="0" fontId="36" fillId="0" borderId="0" xfId="0" applyFont="1" applyFill="1" applyBorder="1" applyAlignment="1">
      <alignment horizontal="center"/>
    </xf>
    <xf numFmtId="0" fontId="36" fillId="17" borderId="0" xfId="0" applyFont="1" applyFill="1" applyBorder="1" applyAlignment="1">
      <alignment horizontal="center"/>
    </xf>
    <xf numFmtId="164" fontId="0" fillId="0" borderId="0" xfId="0" applyNumberFormat="1" applyProtection="1">
      <protection locked="0"/>
    </xf>
    <xf numFmtId="0" fontId="1" fillId="0" borderId="0" xfId="0" applyFont="1" applyProtection="1">
      <protection locked="0"/>
    </xf>
    <xf numFmtId="0" fontId="1" fillId="0" borderId="0" xfId="0" applyFont="1" applyAlignment="1">
      <alignment vertical="center"/>
    </xf>
    <xf numFmtId="10" fontId="19" fillId="0" borderId="0" xfId="0" applyNumberFormat="1" applyFont="1" applyFill="1" applyBorder="1"/>
    <xf numFmtId="2" fontId="0" fillId="13" borderId="0" xfId="0" applyNumberFormat="1" applyFill="1"/>
    <xf numFmtId="0" fontId="1" fillId="0" borderId="19" xfId="0" applyFont="1" applyBorder="1" applyAlignment="1" applyProtection="1">
      <alignment horizontal="center"/>
      <protection hidden="1"/>
    </xf>
    <xf numFmtId="0" fontId="1" fillId="0" borderId="41" xfId="0" applyFont="1" applyBorder="1" applyProtection="1">
      <protection hidden="1"/>
    </xf>
    <xf numFmtId="0" fontId="1" fillId="0" borderId="0" xfId="0" applyFont="1" applyAlignment="1">
      <alignment horizontal="right"/>
    </xf>
    <xf numFmtId="2" fontId="19" fillId="12" borderId="0" xfId="0" applyNumberFormat="1" applyFont="1" applyFill="1" applyBorder="1" applyAlignment="1"/>
    <xf numFmtId="164" fontId="19" fillId="0" borderId="0" xfId="0" applyNumberFormat="1" applyFont="1" applyAlignment="1">
      <alignment horizontal="right"/>
    </xf>
    <xf numFmtId="0" fontId="19" fillId="0" borderId="0" xfId="0" applyFont="1" applyAlignment="1">
      <alignment vertical="center"/>
    </xf>
    <xf numFmtId="0" fontId="27" fillId="20" borderId="62" xfId="0" applyFont="1" applyFill="1" applyBorder="1" applyAlignment="1">
      <alignment horizontal="center" vertical="center"/>
    </xf>
    <xf numFmtId="0" fontId="38" fillId="0" borderId="0" xfId="0" applyFont="1" applyAlignment="1">
      <alignment vertical="center"/>
    </xf>
    <xf numFmtId="0" fontId="27" fillId="19" borderId="0" xfId="0" applyFont="1" applyFill="1" applyBorder="1" applyAlignment="1">
      <alignment horizontal="center" vertical="center"/>
    </xf>
    <xf numFmtId="0" fontId="27" fillId="20" borderId="27" xfId="0" applyFont="1" applyFill="1" applyBorder="1" applyAlignment="1">
      <alignment horizontal="center" vertical="center"/>
    </xf>
    <xf numFmtId="0" fontId="27" fillId="20" borderId="0" xfId="0" applyFont="1" applyFill="1" applyBorder="1" applyAlignment="1">
      <alignment horizontal="center" vertical="center"/>
    </xf>
    <xf numFmtId="0" fontId="38" fillId="17" borderId="0" xfId="0" applyFont="1" applyFill="1" applyAlignment="1">
      <alignment vertical="center"/>
    </xf>
    <xf numFmtId="49" fontId="40" fillId="0" borderId="0" xfId="0" applyNumberFormat="1" applyFont="1" applyAlignment="1">
      <alignment horizontal="right" vertical="center"/>
    </xf>
    <xf numFmtId="0" fontId="32" fillId="0" borderId="0" xfId="0" applyFont="1"/>
    <xf numFmtId="0" fontId="40" fillId="0" borderId="0" xfId="0" applyFont="1" applyAlignment="1">
      <alignment horizontal="right"/>
    </xf>
    <xf numFmtId="170" fontId="40" fillId="0" borderId="0" xfId="0" applyNumberFormat="1" applyFont="1" applyAlignment="1">
      <alignment horizontal="center"/>
    </xf>
    <xf numFmtId="49" fontId="40" fillId="0" borderId="0" xfId="0" applyNumberFormat="1" applyFont="1" applyAlignment="1">
      <alignment vertical="center"/>
    </xf>
    <xf numFmtId="0" fontId="40" fillId="0" borderId="0" xfId="0" applyFont="1" applyAlignment="1"/>
    <xf numFmtId="49" fontId="40" fillId="16" borderId="34" xfId="0" quotePrefix="1" applyNumberFormat="1" applyFont="1" applyFill="1" applyBorder="1" applyAlignment="1">
      <alignment horizontal="center" vertical="center"/>
    </xf>
    <xf numFmtId="49" fontId="40" fillId="0" borderId="27" xfId="0" quotePrefix="1" applyNumberFormat="1" applyFont="1" applyFill="1" applyBorder="1" applyAlignment="1">
      <alignment horizontal="center" vertical="center"/>
    </xf>
    <xf numFmtId="0" fontId="40" fillId="0" borderId="0" xfId="0" applyFont="1" applyFill="1" applyBorder="1" applyAlignment="1">
      <alignment horizontal="left" vertical="center" wrapText="1"/>
    </xf>
    <xf numFmtId="0" fontId="40" fillId="0" borderId="28" xfId="0" applyFont="1" applyFill="1" applyBorder="1" applyAlignment="1">
      <alignment horizontal="left" vertical="center" wrapText="1"/>
    </xf>
    <xf numFmtId="49" fontId="40" fillId="3" borderId="34" xfId="0" applyNumberFormat="1" applyFont="1" applyFill="1" applyBorder="1" applyAlignment="1">
      <alignment horizontal="center" vertical="center"/>
    </xf>
    <xf numFmtId="49" fontId="40" fillId="0" borderId="0" xfId="0" applyNumberFormat="1" applyFont="1" applyFill="1" applyAlignment="1">
      <alignment horizontal="right" vertical="center"/>
    </xf>
    <xf numFmtId="0" fontId="40" fillId="3" borderId="32" xfId="0" applyFont="1" applyFill="1" applyBorder="1" applyAlignment="1">
      <alignment horizontal="right" vertical="center"/>
    </xf>
    <xf numFmtId="0" fontId="40" fillId="3" borderId="16" xfId="0" applyFont="1" applyFill="1" applyBorder="1" applyAlignment="1">
      <alignment horizontal="right" vertical="center"/>
    </xf>
    <xf numFmtId="0" fontId="40" fillId="2" borderId="16" xfId="0" applyFont="1" applyFill="1" applyBorder="1" applyAlignment="1">
      <alignment horizontal="right" vertical="center"/>
    </xf>
    <xf numFmtId="0" fontId="40" fillId="21" borderId="63" xfId="0" applyFont="1" applyFill="1" applyBorder="1" applyAlignment="1">
      <alignment horizontal="right" vertical="center"/>
    </xf>
    <xf numFmtId="0" fontId="40" fillId="3" borderId="17" xfId="0" applyFont="1" applyFill="1" applyBorder="1" applyAlignment="1">
      <alignment horizontal="right" vertical="center"/>
    </xf>
    <xf numFmtId="0" fontId="40" fillId="0" borderId="0" xfId="0" applyFont="1"/>
    <xf numFmtId="49" fontId="40" fillId="5" borderId="33" xfId="0" applyNumberFormat="1" applyFont="1" applyFill="1" applyBorder="1" applyAlignment="1">
      <alignment horizontal="center" vertical="center"/>
    </xf>
    <xf numFmtId="49" fontId="40" fillId="0" borderId="24" xfId="0" applyNumberFormat="1" applyFont="1" applyFill="1" applyBorder="1" applyAlignment="1">
      <alignment horizontal="center" vertical="center"/>
    </xf>
    <xf numFmtId="0" fontId="40" fillId="5" borderId="11" xfId="0" applyFont="1" applyFill="1" applyBorder="1" applyAlignment="1">
      <alignment horizontal="left" vertical="center" wrapText="1"/>
    </xf>
    <xf numFmtId="49" fontId="40" fillId="0" borderId="33" xfId="0" applyNumberFormat="1" applyFont="1" applyFill="1" applyBorder="1" applyAlignment="1">
      <alignment horizontal="center" vertical="center"/>
    </xf>
    <xf numFmtId="0" fontId="40" fillId="0" borderId="25" xfId="0" applyFont="1" applyFill="1" applyBorder="1" applyAlignment="1">
      <alignment horizontal="center" vertical="center" wrapText="1"/>
    </xf>
    <xf numFmtId="0" fontId="40" fillId="0" borderId="25" xfId="0" applyFont="1" applyFill="1" applyBorder="1" applyAlignment="1">
      <alignment horizontal="left" vertical="center" wrapText="1"/>
    </xf>
    <xf numFmtId="0" fontId="40" fillId="0" borderId="26" xfId="0" applyFont="1" applyFill="1" applyBorder="1" applyAlignment="1">
      <alignment horizontal="left" vertical="center" wrapText="1"/>
    </xf>
    <xf numFmtId="49" fontId="40" fillId="8" borderId="34" xfId="0" applyNumberFormat="1" applyFont="1" applyFill="1" applyBorder="1" applyAlignment="1">
      <alignment horizontal="center" vertical="center"/>
    </xf>
    <xf numFmtId="0" fontId="40" fillId="4" borderId="32" xfId="0" applyFont="1" applyFill="1" applyBorder="1" applyAlignment="1">
      <alignment horizontal="right" vertical="center"/>
    </xf>
    <xf numFmtId="0" fontId="40" fillId="8" borderId="16" xfId="0" applyFont="1" applyFill="1" applyBorder="1" applyAlignment="1">
      <alignment horizontal="right" vertical="center"/>
    </xf>
    <xf numFmtId="0" fontId="40" fillId="4" borderId="17" xfId="0" applyFont="1" applyFill="1" applyBorder="1" applyAlignment="1">
      <alignment horizontal="right" vertical="center"/>
    </xf>
    <xf numFmtId="0" fontId="40" fillId="0" borderId="0" xfId="0" applyFont="1" applyFill="1" applyBorder="1" applyAlignment="1">
      <alignment horizontal="right" vertical="center"/>
    </xf>
    <xf numFmtId="49" fontId="40" fillId="9" borderId="34" xfId="0" applyNumberFormat="1" applyFont="1" applyFill="1" applyBorder="1" applyAlignment="1">
      <alignment horizontal="right" vertical="center"/>
    </xf>
    <xf numFmtId="49" fontId="40" fillId="0" borderId="0" xfId="0" applyNumberFormat="1" applyFont="1" applyFill="1" applyBorder="1" applyAlignment="1">
      <alignment horizontal="right" vertical="center"/>
    </xf>
    <xf numFmtId="49" fontId="40" fillId="10" borderId="34" xfId="0" applyNumberFormat="1" applyFont="1" applyFill="1" applyBorder="1" applyAlignment="1">
      <alignment horizontal="right" vertical="center"/>
    </xf>
    <xf numFmtId="49" fontId="40" fillId="6" borderId="3" xfId="0" applyNumberFormat="1" applyFont="1" applyFill="1" applyBorder="1" applyAlignment="1">
      <alignment horizontal="center" vertical="center"/>
    </xf>
    <xf numFmtId="0" fontId="40" fillId="0" borderId="0" xfId="0" applyFont="1" applyAlignment="1">
      <alignment horizontal="left" wrapText="1"/>
    </xf>
    <xf numFmtId="49" fontId="40" fillId="7" borderId="34" xfId="0" applyNumberFormat="1" applyFont="1" applyFill="1" applyBorder="1" applyAlignment="1">
      <alignment horizontal="center" vertical="center"/>
    </xf>
    <xf numFmtId="0" fontId="44" fillId="0" borderId="0" xfId="0" applyFont="1" applyProtection="1">
      <protection hidden="1"/>
    </xf>
    <xf numFmtId="0" fontId="45" fillId="0" borderId="0" xfId="0" applyFont="1" applyBorder="1" applyAlignment="1" applyProtection="1">
      <alignment horizontal="center"/>
      <protection hidden="1"/>
    </xf>
    <xf numFmtId="0" fontId="32" fillId="0" borderId="1" xfId="0" applyFont="1" applyBorder="1" applyAlignment="1" applyProtection="1">
      <alignment horizontal="center"/>
      <protection hidden="1"/>
    </xf>
    <xf numFmtId="170" fontId="44" fillId="2" borderId="1" xfId="0" applyNumberFormat="1" applyFont="1" applyFill="1" applyBorder="1" applyAlignment="1" applyProtection="1">
      <alignment horizontal="center"/>
      <protection locked="0"/>
    </xf>
    <xf numFmtId="0" fontId="40" fillId="0" borderId="35" xfId="0" applyFont="1" applyBorder="1" applyAlignment="1"/>
    <xf numFmtId="0" fontId="40" fillId="0" borderId="6" xfId="0" applyFont="1" applyBorder="1" applyAlignment="1"/>
    <xf numFmtId="0" fontId="44" fillId="0" borderId="27" xfId="0" applyFont="1" applyFill="1" applyBorder="1" applyProtection="1">
      <protection hidden="1"/>
    </xf>
    <xf numFmtId="0" fontId="46" fillId="0" borderId="0" xfId="0" applyFont="1" applyFill="1" applyBorder="1" applyAlignment="1" applyProtection="1">
      <protection hidden="1"/>
    </xf>
    <xf numFmtId="0" fontId="44" fillId="0" borderId="0" xfId="0" applyFont="1" applyFill="1" applyBorder="1" applyProtection="1">
      <protection hidden="1"/>
    </xf>
    <xf numFmtId="0" fontId="44" fillId="0" borderId="28" xfId="0" applyFont="1" applyFill="1" applyBorder="1" applyProtection="1">
      <protection hidden="1"/>
    </xf>
    <xf numFmtId="0" fontId="44" fillId="0" borderId="27" xfId="0" applyFont="1" applyBorder="1" applyProtection="1">
      <protection hidden="1"/>
    </xf>
    <xf numFmtId="0" fontId="44" fillId="0" borderId="0" xfId="0" applyFont="1" applyBorder="1" applyProtection="1">
      <protection hidden="1"/>
    </xf>
    <xf numFmtId="0" fontId="44" fillId="0" borderId="28" xfId="0" applyFont="1" applyBorder="1" applyProtection="1">
      <protection hidden="1"/>
    </xf>
    <xf numFmtId="0" fontId="46" fillId="14" borderId="1" xfId="0" applyFont="1" applyFill="1" applyBorder="1" applyAlignment="1" applyProtection="1">
      <alignment horizontal="center"/>
      <protection hidden="1"/>
    </xf>
    <xf numFmtId="0" fontId="44" fillId="2" borderId="4" xfId="0" applyFont="1" applyFill="1" applyBorder="1" applyAlignment="1" applyProtection="1">
      <alignment horizontal="center" vertical="center" wrapText="1"/>
      <protection locked="0"/>
    </xf>
    <xf numFmtId="0" fontId="44" fillId="2" borderId="34" xfId="0" applyFont="1" applyFill="1" applyBorder="1" applyAlignment="1" applyProtection="1">
      <alignment horizontal="center" vertical="center" wrapText="1"/>
      <protection locked="0"/>
    </xf>
    <xf numFmtId="0" fontId="44" fillId="0" borderId="20" xfId="0" applyFont="1" applyBorder="1" applyAlignment="1" applyProtection="1">
      <alignment horizontal="right"/>
      <protection hidden="1"/>
    </xf>
    <xf numFmtId="3" fontId="44" fillId="2" borderId="20" xfId="0" applyNumberFormat="1" applyFont="1" applyFill="1" applyBorder="1" applyAlignment="1" applyProtection="1">
      <alignment horizontal="right" vertical="center"/>
      <protection locked="0"/>
    </xf>
    <xf numFmtId="0" fontId="44" fillId="0" borderId="43" xfId="0" applyFont="1" applyBorder="1" applyProtection="1">
      <protection hidden="1"/>
    </xf>
    <xf numFmtId="3" fontId="44" fillId="2" borderId="20" xfId="0" applyNumberFormat="1" applyFont="1" applyFill="1" applyBorder="1" applyAlignment="1" applyProtection="1">
      <alignment horizontal="right"/>
      <protection locked="0"/>
    </xf>
    <xf numFmtId="0" fontId="44" fillId="0" borderId="1" xfId="0" applyFont="1" applyBorder="1" applyAlignment="1" applyProtection="1">
      <alignment horizontal="right"/>
      <protection hidden="1"/>
    </xf>
    <xf numFmtId="3" fontId="44" fillId="2" borderId="1" xfId="0" applyNumberFormat="1" applyFont="1" applyFill="1" applyBorder="1" applyAlignment="1" applyProtection="1">
      <alignment horizontal="right" vertical="center"/>
      <protection locked="0"/>
    </xf>
    <xf numFmtId="0" fontId="44" fillId="0" borderId="6" xfId="0" applyFont="1" applyBorder="1" applyProtection="1">
      <protection hidden="1"/>
    </xf>
    <xf numFmtId="3" fontId="44" fillId="2" borderId="1" xfId="0" applyNumberFormat="1" applyFont="1" applyFill="1" applyBorder="1" applyAlignment="1" applyProtection="1">
      <alignment horizontal="right"/>
      <protection locked="0"/>
    </xf>
    <xf numFmtId="0" fontId="44" fillId="0" borderId="0" xfId="0" applyFont="1" applyFill="1" applyBorder="1" applyAlignment="1" applyProtection="1">
      <alignment horizontal="center" vertical="center" wrapText="1"/>
      <protection hidden="1"/>
    </xf>
    <xf numFmtId="10" fontId="44" fillId="2" borderId="1" xfId="0" applyNumberFormat="1" applyFont="1" applyFill="1" applyBorder="1" applyAlignment="1" applyProtection="1">
      <alignment horizontal="right"/>
      <protection locked="0"/>
    </xf>
    <xf numFmtId="4" fontId="44" fillId="2" borderId="1" xfId="0" applyNumberFormat="1" applyFont="1" applyFill="1" applyBorder="1" applyAlignment="1" applyProtection="1">
      <alignment horizontal="right"/>
      <protection locked="0"/>
    </xf>
    <xf numFmtId="3" fontId="44" fillId="2" borderId="12" xfId="0" applyNumberFormat="1" applyFont="1" applyFill="1" applyBorder="1" applyAlignment="1" applyProtection="1">
      <alignment horizontal="center"/>
      <protection locked="0"/>
    </xf>
    <xf numFmtId="0" fontId="44" fillId="0" borderId="1" xfId="0" applyFont="1" applyBorder="1" applyProtection="1">
      <protection hidden="1"/>
    </xf>
    <xf numFmtId="10" fontId="44" fillId="2" borderId="14" xfId="0" applyNumberFormat="1" applyFont="1" applyFill="1" applyBorder="1" applyAlignment="1" applyProtection="1">
      <alignment horizontal="center"/>
      <protection locked="0"/>
    </xf>
    <xf numFmtId="0" fontId="46" fillId="0" borderId="0" xfId="0" applyFont="1" applyBorder="1" applyAlignment="1" applyProtection="1">
      <alignment horizontal="center"/>
      <protection hidden="1"/>
    </xf>
    <xf numFmtId="3" fontId="44" fillId="17" borderId="1" xfId="0" applyNumberFormat="1" applyFont="1" applyFill="1" applyBorder="1" applyAlignment="1" applyProtection="1">
      <alignment horizontal="center"/>
      <protection hidden="1"/>
    </xf>
    <xf numFmtId="0" fontId="44" fillId="17" borderId="1" xfId="0" applyFont="1" applyFill="1" applyBorder="1" applyProtection="1">
      <protection hidden="1"/>
    </xf>
    <xf numFmtId="0" fontId="44" fillId="0" borderId="29" xfId="0" applyFont="1" applyBorder="1" applyProtection="1">
      <protection hidden="1"/>
    </xf>
    <xf numFmtId="0" fontId="44" fillId="0" borderId="30" xfId="0" applyFont="1" applyBorder="1" applyProtection="1">
      <protection hidden="1"/>
    </xf>
    <xf numFmtId="0" fontId="44" fillId="0" borderId="31" xfId="0" applyFont="1" applyBorder="1" applyProtection="1">
      <protection hidden="1"/>
    </xf>
    <xf numFmtId="0" fontId="53" fillId="0" borderId="0" xfId="0" applyFont="1" applyBorder="1" applyAlignment="1">
      <alignment horizontal="center"/>
    </xf>
    <xf numFmtId="172" fontId="53" fillId="14" borderId="39" xfId="0" applyNumberFormat="1" applyFont="1" applyFill="1" applyBorder="1" applyAlignment="1">
      <alignment horizontal="center"/>
    </xf>
    <xf numFmtId="0" fontId="44" fillId="0" borderId="0" xfId="0" applyFont="1"/>
    <xf numFmtId="0" fontId="44" fillId="0" borderId="0" xfId="0" applyFont="1" applyAlignment="1">
      <alignment horizontal="center"/>
    </xf>
    <xf numFmtId="0" fontId="44" fillId="0" borderId="0" xfId="0" applyFont="1" applyBorder="1"/>
    <xf numFmtId="0" fontId="44" fillId="0" borderId="0" xfId="0" applyFont="1" applyBorder="1" applyAlignment="1">
      <alignment vertical="center"/>
    </xf>
    <xf numFmtId="0" fontId="44" fillId="0" borderId="0" xfId="0" applyFont="1" applyFill="1" applyBorder="1"/>
    <xf numFmtId="0" fontId="44" fillId="0" borderId="0" xfId="0" applyFont="1" applyFill="1" applyBorder="1" applyAlignment="1">
      <alignment horizontal="center"/>
    </xf>
    <xf numFmtId="2" fontId="44" fillId="0" borderId="0" xfId="0" applyNumberFormat="1" applyFont="1" applyFill="1" applyBorder="1" applyAlignment="1">
      <alignment horizontal="center"/>
    </xf>
    <xf numFmtId="3" fontId="46" fillId="14" borderId="1" xfId="0" applyNumberFormat="1" applyFont="1" applyFill="1" applyBorder="1" applyAlignment="1">
      <alignment horizontal="center" vertical="center"/>
    </xf>
    <xf numFmtId="0" fontId="45" fillId="0" borderId="0" xfId="0" applyFont="1" applyAlignment="1">
      <alignment horizontal="center"/>
    </xf>
    <xf numFmtId="0" fontId="44" fillId="0" borderId="0" xfId="0" applyFont="1" applyBorder="1" applyAlignment="1">
      <alignment horizontal="center"/>
    </xf>
    <xf numFmtId="2" fontId="44" fillId="0" borderId="0" xfId="0" applyNumberFormat="1" applyFont="1" applyBorder="1" applyAlignment="1">
      <alignment horizontal="center"/>
    </xf>
    <xf numFmtId="0" fontId="44" fillId="0" borderId="0" xfId="0" applyFont="1" applyBorder="1" applyAlignment="1">
      <alignment wrapText="1"/>
    </xf>
    <xf numFmtId="0" fontId="44" fillId="0" borderId="0" xfId="0" applyFont="1" applyBorder="1" applyAlignment="1" applyProtection="1">
      <alignment horizontal="center"/>
      <protection locked="0"/>
    </xf>
    <xf numFmtId="0" fontId="44" fillId="0" borderId="0" xfId="0" applyFont="1" applyBorder="1" applyAlignment="1">
      <alignment horizontal="center" wrapText="1"/>
    </xf>
    <xf numFmtId="0" fontId="44" fillId="2" borderId="1" xfId="0" applyFont="1" applyFill="1" applyBorder="1" applyAlignment="1" applyProtection="1">
      <alignment horizontal="center" vertical="center" wrapText="1"/>
      <protection locked="0"/>
    </xf>
    <xf numFmtId="0" fontId="44" fillId="0" borderId="0" xfId="0" applyFont="1" applyAlignment="1">
      <alignment horizontal="left"/>
    </xf>
    <xf numFmtId="0" fontId="44" fillId="0" borderId="0" xfId="0" applyFont="1" applyAlignment="1">
      <alignment wrapText="1"/>
    </xf>
    <xf numFmtId="0" fontId="44" fillId="2" borderId="22" xfId="0" applyFont="1" applyFill="1" applyBorder="1" applyAlignment="1" applyProtection="1">
      <alignment horizontal="center" vertical="center" wrapText="1"/>
      <protection locked="0"/>
    </xf>
    <xf numFmtId="167" fontId="44" fillId="2" borderId="23" xfId="0" applyNumberFormat="1" applyFont="1" applyFill="1" applyBorder="1" applyAlignment="1" applyProtection="1">
      <alignment horizontal="center" vertical="center" wrapText="1"/>
      <protection locked="0"/>
    </xf>
    <xf numFmtId="0" fontId="44" fillId="2" borderId="23" xfId="0" applyFont="1" applyFill="1" applyBorder="1" applyAlignment="1" applyProtection="1">
      <alignment horizontal="center" vertical="center" wrapText="1"/>
      <protection locked="0"/>
    </xf>
    <xf numFmtId="0" fontId="44" fillId="0" borderId="0" xfId="0" applyFont="1" applyAlignment="1">
      <alignment vertical="center" wrapText="1"/>
    </xf>
    <xf numFmtId="10" fontId="44" fillId="2" borderId="4" xfId="0" applyNumberFormat="1" applyFont="1" applyFill="1" applyBorder="1" applyAlignment="1" applyProtection="1">
      <alignment horizontal="center" vertical="center" wrapText="1"/>
      <protection locked="0"/>
    </xf>
    <xf numFmtId="0" fontId="55" fillId="0" borderId="0" xfId="0" applyFont="1" applyBorder="1" applyAlignment="1" applyProtection="1">
      <alignment vertical="center" wrapText="1"/>
      <protection hidden="1"/>
    </xf>
    <xf numFmtId="0" fontId="47" fillId="0" borderId="0" xfId="0" applyFont="1" applyAlignment="1" applyProtection="1">
      <alignment vertical="center" wrapText="1"/>
      <protection hidden="1"/>
    </xf>
    <xf numFmtId="0" fontId="56" fillId="0" borderId="0" xfId="0" applyFont="1" applyBorder="1" applyAlignment="1" applyProtection="1">
      <alignment wrapText="1"/>
      <protection hidden="1"/>
    </xf>
    <xf numFmtId="0" fontId="44" fillId="0" borderId="0" xfId="0" applyFont="1" applyBorder="1" applyAlignment="1" applyProtection="1">
      <alignment wrapText="1"/>
      <protection hidden="1"/>
    </xf>
    <xf numFmtId="0" fontId="44" fillId="0" borderId="16" xfId="0" applyFont="1" applyBorder="1"/>
    <xf numFmtId="0" fontId="44" fillId="2" borderId="1" xfId="0" applyFont="1" applyFill="1" applyBorder="1" applyAlignment="1" applyProtection="1">
      <alignment horizontal="center" vertical="center"/>
      <protection locked="0"/>
    </xf>
    <xf numFmtId="168" fontId="44" fillId="2" borderId="15" xfId="0" applyNumberFormat="1" applyFont="1" applyFill="1" applyBorder="1" applyAlignment="1" applyProtection="1">
      <alignment horizontal="center" vertical="center"/>
      <protection locked="0"/>
    </xf>
    <xf numFmtId="0" fontId="44" fillId="0" borderId="17" xfId="0" applyFont="1" applyBorder="1"/>
    <xf numFmtId="0" fontId="44" fillId="2" borderId="12" xfId="0" applyFont="1" applyFill="1" applyBorder="1" applyAlignment="1" applyProtection="1">
      <alignment horizontal="center" vertical="center"/>
      <protection locked="0"/>
    </xf>
    <xf numFmtId="0" fontId="48" fillId="0" borderId="0" xfId="0" applyFont="1" applyFill="1" applyBorder="1" applyAlignment="1"/>
    <xf numFmtId="0" fontId="56" fillId="0" borderId="0" xfId="0" applyFont="1" applyFill="1" applyBorder="1"/>
    <xf numFmtId="0" fontId="45" fillId="0" borderId="0" xfId="0" applyFont="1" applyFill="1" applyBorder="1" applyAlignment="1">
      <alignment vertical="center" wrapText="1"/>
    </xf>
    <xf numFmtId="0" fontId="44" fillId="0" borderId="0" xfId="0" applyFont="1" applyFill="1" applyBorder="1" applyAlignment="1">
      <alignment wrapText="1"/>
    </xf>
    <xf numFmtId="0" fontId="44" fillId="0" borderId="0" xfId="0" applyFont="1" applyAlignment="1">
      <alignment horizontal="center" wrapText="1"/>
    </xf>
    <xf numFmtId="0" fontId="46" fillId="0" borderId="0" xfId="0" applyFont="1" applyBorder="1" applyAlignment="1"/>
    <xf numFmtId="0" fontId="44" fillId="2" borderId="1" xfId="0" applyFont="1" applyFill="1" applyBorder="1" applyProtection="1">
      <protection locked="0"/>
    </xf>
    <xf numFmtId="0" fontId="44" fillId="2" borderId="1" xfId="0" applyNumberFormat="1" applyFont="1" applyFill="1" applyBorder="1" applyProtection="1">
      <protection locked="0"/>
    </xf>
    <xf numFmtId="0" fontId="44" fillId="2" borderId="1" xfId="0" applyFont="1" applyFill="1" applyBorder="1" applyAlignment="1" applyProtection="1">
      <alignment horizontal="center"/>
      <protection locked="0"/>
    </xf>
    <xf numFmtId="168" fontId="44" fillId="2" borderId="1" xfId="0" applyNumberFormat="1" applyFont="1" applyFill="1" applyBorder="1" applyAlignment="1" applyProtection="1">
      <alignment horizontal="center"/>
      <protection locked="0"/>
    </xf>
    <xf numFmtId="167" fontId="44" fillId="2" borderId="15" xfId="0" applyNumberFormat="1" applyFont="1" applyFill="1" applyBorder="1" applyAlignment="1" applyProtection="1">
      <alignment horizontal="center"/>
      <protection locked="0"/>
    </xf>
    <xf numFmtId="0" fontId="44" fillId="0" borderId="16" xfId="0" applyFont="1" applyBorder="1" applyAlignment="1">
      <alignment wrapText="1"/>
    </xf>
    <xf numFmtId="0" fontId="44" fillId="2" borderId="1" xfId="0" applyFont="1" applyFill="1" applyBorder="1" applyAlignment="1" applyProtection="1">
      <alignment wrapText="1"/>
      <protection locked="0"/>
    </xf>
    <xf numFmtId="0" fontId="44" fillId="2" borderId="1" xfId="0" applyNumberFormat="1" applyFont="1" applyFill="1" applyBorder="1" applyAlignment="1" applyProtection="1">
      <alignment wrapText="1"/>
      <protection locked="0"/>
    </xf>
    <xf numFmtId="0" fontId="44" fillId="2" borderId="1" xfId="0" applyFont="1" applyFill="1" applyBorder="1" applyAlignment="1" applyProtection="1">
      <alignment horizontal="center" wrapText="1"/>
      <protection locked="0"/>
    </xf>
    <xf numFmtId="168" fontId="44" fillId="2" borderId="1" xfId="0" applyNumberFormat="1" applyFont="1" applyFill="1" applyBorder="1" applyAlignment="1" applyProtection="1">
      <alignment horizontal="center" wrapText="1"/>
      <protection locked="0"/>
    </xf>
    <xf numFmtId="167" fontId="44" fillId="2" borderId="15" xfId="0" applyNumberFormat="1" applyFont="1" applyFill="1" applyBorder="1" applyAlignment="1" applyProtection="1">
      <alignment horizontal="center" wrapText="1"/>
      <protection locked="0"/>
    </xf>
    <xf numFmtId="0" fontId="44" fillId="2" borderId="12" xfId="0" applyFont="1" applyFill="1" applyBorder="1" applyProtection="1">
      <protection locked="0"/>
    </xf>
    <xf numFmtId="0" fontId="44" fillId="2" borderId="12" xfId="0" applyNumberFormat="1" applyFont="1" applyFill="1" applyBorder="1" applyProtection="1">
      <protection locked="0"/>
    </xf>
    <xf numFmtId="0" fontId="44" fillId="2" borderId="12" xfId="0" applyFont="1" applyFill="1" applyBorder="1" applyAlignment="1" applyProtection="1">
      <alignment horizontal="center"/>
      <protection locked="0"/>
    </xf>
    <xf numFmtId="168" fontId="44" fillId="2" borderId="12" xfId="0" applyNumberFormat="1" applyFont="1" applyFill="1" applyBorder="1" applyAlignment="1" applyProtection="1">
      <alignment horizontal="center"/>
      <protection locked="0"/>
    </xf>
    <xf numFmtId="167" fontId="44" fillId="2" borderId="14" xfId="0" applyNumberFormat="1" applyFont="1" applyFill="1" applyBorder="1" applyAlignment="1" applyProtection="1">
      <alignment horizontal="center"/>
      <protection locked="0"/>
    </xf>
    <xf numFmtId="0" fontId="44" fillId="0" borderId="0" xfId="0" applyFont="1" applyAlignment="1" applyProtection="1">
      <protection hidden="1"/>
    </xf>
    <xf numFmtId="0" fontId="44" fillId="0" borderId="0" xfId="0" applyFont="1" applyAlignment="1" applyProtection="1">
      <alignment vertical="center"/>
      <protection hidden="1"/>
    </xf>
    <xf numFmtId="2" fontId="44" fillId="11" borderId="1" xfId="0" applyNumberFormat="1" applyFont="1" applyFill="1" applyBorder="1" applyAlignment="1" applyProtection="1">
      <alignment horizontal="right" vertical="center"/>
      <protection hidden="1"/>
    </xf>
    <xf numFmtId="0" fontId="44" fillId="0" borderId="0" xfId="0" applyFont="1" applyFill="1" applyBorder="1" applyAlignment="1" applyProtection="1">
      <alignment horizontal="left" vertical="center"/>
      <protection hidden="1"/>
    </xf>
    <xf numFmtId="0" fontId="46" fillId="0" borderId="0" xfId="0" applyFont="1" applyBorder="1" applyAlignment="1" applyProtection="1">
      <alignment horizontal="right" vertical="center"/>
      <protection hidden="1"/>
    </xf>
    <xf numFmtId="0" fontId="44" fillId="0" borderId="0" xfId="0" applyFont="1" applyBorder="1" applyAlignment="1" applyProtection="1">
      <alignment horizontal="center" vertical="center"/>
      <protection hidden="1"/>
    </xf>
    <xf numFmtId="0" fontId="44" fillId="0" borderId="0" xfId="0" applyFont="1" applyBorder="1" applyAlignment="1" applyProtection="1">
      <alignment horizontal="left" vertical="center"/>
      <protection hidden="1"/>
    </xf>
    <xf numFmtId="0" fontId="44" fillId="0" borderId="0" xfId="0" applyFont="1" applyAlignment="1">
      <alignment vertical="center"/>
    </xf>
    <xf numFmtId="0" fontId="48" fillId="0" borderId="0" xfId="0" applyFont="1" applyBorder="1" applyAlignment="1" applyProtection="1">
      <alignment horizontal="left"/>
      <protection hidden="1"/>
    </xf>
    <xf numFmtId="0" fontId="48" fillId="0" borderId="0" xfId="0" applyFont="1" applyBorder="1" applyAlignment="1" applyProtection="1">
      <alignment horizontal="left" vertical="center"/>
      <protection hidden="1"/>
    </xf>
    <xf numFmtId="164" fontId="44" fillId="11" borderId="1" xfId="0" applyNumberFormat="1" applyFont="1" applyFill="1" applyBorder="1" applyAlignment="1" applyProtection="1">
      <alignment horizontal="right" vertical="center"/>
      <protection hidden="1"/>
    </xf>
    <xf numFmtId="0" fontId="48" fillId="0" borderId="0" xfId="0" applyFont="1" applyBorder="1" applyAlignment="1" applyProtection="1">
      <alignment horizontal="center"/>
      <protection hidden="1"/>
    </xf>
    <xf numFmtId="0" fontId="48" fillId="0" borderId="0" xfId="0" applyFont="1" applyBorder="1" applyAlignment="1" applyProtection="1">
      <alignment horizontal="left" wrapText="1"/>
      <protection hidden="1"/>
    </xf>
    <xf numFmtId="0" fontId="57" fillId="0" borderId="0" xfId="0" applyFont="1" applyBorder="1" applyAlignment="1" applyProtection="1">
      <alignment horizontal="center" vertical="center" wrapText="1"/>
      <protection hidden="1"/>
    </xf>
    <xf numFmtId="0" fontId="57" fillId="0" borderId="28" xfId="0" applyFont="1" applyBorder="1" applyAlignment="1" applyProtection="1">
      <alignment horizontal="center" vertical="center" wrapText="1"/>
      <protection hidden="1"/>
    </xf>
    <xf numFmtId="164" fontId="44" fillId="3" borderId="4" xfId="0" applyNumberFormat="1"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right" vertical="center"/>
      <protection hidden="1"/>
    </xf>
    <xf numFmtId="164" fontId="44" fillId="8" borderId="4" xfId="0" applyNumberFormat="1" applyFont="1" applyFill="1" applyBorder="1" applyAlignment="1" applyProtection="1">
      <alignment horizontal="center" vertical="center"/>
      <protection hidden="1"/>
    </xf>
    <xf numFmtId="0" fontId="59" fillId="0" borderId="0" xfId="0" applyFont="1" applyBorder="1" applyAlignment="1" applyProtection="1">
      <alignment vertical="center" wrapText="1"/>
      <protection hidden="1"/>
    </xf>
    <xf numFmtId="0" fontId="59" fillId="0" borderId="0" xfId="0" applyFont="1" applyBorder="1" applyAlignment="1" applyProtection="1">
      <alignment horizontal="center" vertical="center"/>
      <protection hidden="1"/>
    </xf>
    <xf numFmtId="0" fontId="59" fillId="0" borderId="0" xfId="0" applyFont="1" applyBorder="1" applyAlignment="1" applyProtection="1">
      <alignment horizontal="right" vertical="center"/>
      <protection hidden="1"/>
    </xf>
    <xf numFmtId="164" fontId="44" fillId="2" borderId="4" xfId="0" applyNumberFormat="1" applyFont="1" applyFill="1" applyBorder="1" applyAlignment="1" applyProtection="1">
      <alignment horizontal="center" vertical="center"/>
      <protection locked="0"/>
    </xf>
    <xf numFmtId="0" fontId="48" fillId="0" borderId="0" xfId="0" applyFont="1" applyBorder="1" applyAlignment="1" applyProtection="1">
      <alignment horizontal="left" vertical="center" wrapText="1"/>
      <protection hidden="1"/>
    </xf>
    <xf numFmtId="0" fontId="48" fillId="0" borderId="0" xfId="0" applyFont="1" applyBorder="1" applyAlignment="1">
      <alignment vertical="center" wrapText="1"/>
    </xf>
    <xf numFmtId="0" fontId="46" fillId="0" borderId="0" xfId="0" applyFont="1" applyBorder="1" applyAlignment="1" applyProtection="1">
      <alignment horizontal="right"/>
      <protection hidden="1"/>
    </xf>
    <xf numFmtId="0" fontId="46" fillId="0" borderId="0" xfId="0" applyFont="1" applyFill="1" applyBorder="1" applyAlignment="1" applyProtection="1">
      <alignment horizontal="right"/>
      <protection hidden="1"/>
    </xf>
    <xf numFmtId="10" fontId="60" fillId="0" borderId="11" xfId="0" applyNumberFormat="1" applyFont="1" applyBorder="1" applyAlignment="1">
      <alignment vertical="center"/>
    </xf>
    <xf numFmtId="0" fontId="60" fillId="0" borderId="9" xfId="0" applyFont="1" applyBorder="1" applyAlignment="1">
      <alignment vertical="center"/>
    </xf>
    <xf numFmtId="165" fontId="61" fillId="0" borderId="11" xfId="0" applyNumberFormat="1" applyFont="1" applyBorder="1" applyAlignment="1">
      <alignment vertical="center"/>
    </xf>
    <xf numFmtId="0" fontId="61" fillId="0" borderId="9" xfId="0" applyFont="1" applyBorder="1" applyAlignment="1">
      <alignment vertical="center"/>
    </xf>
    <xf numFmtId="0" fontId="62" fillId="0" borderId="0" xfId="0" applyFont="1" applyBorder="1" applyAlignment="1" applyProtection="1">
      <alignment vertical="center" wrapText="1"/>
      <protection hidden="1"/>
    </xf>
    <xf numFmtId="10" fontId="62" fillId="0" borderId="0" xfId="0" applyNumberFormat="1" applyFont="1" applyBorder="1" applyAlignment="1" applyProtection="1">
      <alignment vertical="center"/>
      <protection hidden="1"/>
    </xf>
    <xf numFmtId="0" fontId="62" fillId="0" borderId="0" xfId="0" applyFont="1" applyBorder="1" applyAlignment="1" applyProtection="1">
      <alignment vertical="center"/>
      <protection hidden="1"/>
    </xf>
    <xf numFmtId="0" fontId="58" fillId="0" borderId="0" xfId="0" applyFont="1" applyBorder="1" applyAlignment="1">
      <alignment horizontal="center" wrapText="1"/>
    </xf>
    <xf numFmtId="0" fontId="46" fillId="0" borderId="0" xfId="0" applyFont="1" applyAlignment="1">
      <alignment horizontal="center"/>
    </xf>
    <xf numFmtId="0" fontId="40" fillId="0" borderId="0" xfId="0" applyFont="1" applyAlignment="1">
      <alignment horizontal="center"/>
    </xf>
    <xf numFmtId="0" fontId="44" fillId="12" borderId="1" xfId="0" applyFont="1" applyFill="1" applyBorder="1" applyProtection="1">
      <protection locked="0"/>
    </xf>
    <xf numFmtId="0" fontId="32" fillId="0" borderId="0" xfId="0" applyFont="1" applyBorder="1" applyAlignment="1">
      <alignment horizontal="center"/>
    </xf>
    <xf numFmtId="0" fontId="40" fillId="5" borderId="3" xfId="0" applyFont="1" applyFill="1" applyBorder="1" applyAlignment="1" applyProtection="1">
      <alignment horizontal="center" vertical="center" wrapText="1"/>
      <protection hidden="1"/>
    </xf>
    <xf numFmtId="0" fontId="32" fillId="0" borderId="0" xfId="0" applyFont="1" applyAlignment="1">
      <alignment wrapText="1"/>
    </xf>
    <xf numFmtId="0" fontId="40" fillId="5" borderId="7" xfId="0" applyFont="1" applyFill="1" applyBorder="1" applyProtection="1">
      <protection hidden="1"/>
    </xf>
    <xf numFmtId="10" fontId="40" fillId="5" borderId="17" xfId="0" applyNumberFormat="1" applyFont="1" applyFill="1" applyBorder="1" applyAlignment="1" applyProtection="1">
      <alignment horizontal="center"/>
      <protection hidden="1"/>
    </xf>
    <xf numFmtId="10" fontId="40" fillId="5" borderId="14" xfId="0" applyNumberFormat="1" applyFont="1" applyFill="1" applyBorder="1" applyAlignment="1" applyProtection="1">
      <protection hidden="1"/>
    </xf>
    <xf numFmtId="0" fontId="40" fillId="3" borderId="3" xfId="0" applyFont="1" applyFill="1" applyBorder="1" applyAlignment="1" applyProtection="1">
      <alignment horizontal="center" vertical="center" wrapText="1"/>
      <protection hidden="1"/>
    </xf>
    <xf numFmtId="0" fontId="65" fillId="0" borderId="0" xfId="0" applyFont="1"/>
    <xf numFmtId="0" fontId="65" fillId="0" borderId="0" xfId="0" applyFont="1" applyBorder="1" applyAlignment="1">
      <alignment horizontal="center"/>
    </xf>
    <xf numFmtId="172" fontId="65" fillId="14" borderId="39" xfId="0" applyNumberFormat="1" applyFont="1" applyFill="1" applyBorder="1" applyAlignment="1">
      <alignment horizontal="center"/>
    </xf>
    <xf numFmtId="3" fontId="45" fillId="14" borderId="1" xfId="0" applyNumberFormat="1" applyFont="1" applyFill="1" applyBorder="1" applyAlignment="1">
      <alignment horizontal="center" vertical="center"/>
    </xf>
    <xf numFmtId="0" fontId="65" fillId="0" borderId="60" xfId="0" applyFont="1" applyBorder="1" applyAlignment="1">
      <alignment horizontal="center" vertical="center" wrapText="1"/>
    </xf>
    <xf numFmtId="0" fontId="65" fillId="0" borderId="61" xfId="0" applyFont="1" applyBorder="1" applyAlignment="1">
      <alignment horizontal="center" vertical="center" wrapText="1"/>
    </xf>
    <xf numFmtId="0" fontId="65" fillId="0" borderId="44" xfId="0" applyFont="1" applyBorder="1" applyAlignment="1">
      <alignment horizontal="center" vertical="center" wrapText="1"/>
    </xf>
    <xf numFmtId="0" fontId="66" fillId="0" borderId="27" xfId="0" applyFont="1" applyBorder="1" applyAlignment="1">
      <alignment vertical="center"/>
    </xf>
    <xf numFmtId="0" fontId="66" fillId="0" borderId="0" xfId="0" applyFont="1" applyAlignment="1">
      <alignment vertical="center"/>
    </xf>
    <xf numFmtId="0" fontId="65" fillId="0" borderId="32" xfId="0" applyFont="1" applyBorder="1"/>
    <xf numFmtId="0" fontId="65" fillId="0" borderId="16" xfId="0" applyFont="1" applyBorder="1"/>
    <xf numFmtId="0" fontId="65" fillId="12" borderId="1" xfId="0" applyFont="1" applyFill="1" applyBorder="1" applyProtection="1">
      <protection locked="0"/>
    </xf>
    <xf numFmtId="10" fontId="65" fillId="12" borderId="1" xfId="0" applyNumberFormat="1" applyFont="1" applyFill="1" applyBorder="1" applyAlignment="1" applyProtection="1">
      <alignment horizontal="center"/>
      <protection locked="0"/>
    </xf>
    <xf numFmtId="0" fontId="65" fillId="12" borderId="15" xfId="0" applyFont="1" applyFill="1" applyBorder="1" applyAlignment="1" applyProtection="1">
      <alignment horizontal="center"/>
      <protection locked="0"/>
    </xf>
    <xf numFmtId="0" fontId="65" fillId="0" borderId="17" xfId="0" applyFont="1" applyBorder="1"/>
    <xf numFmtId="0" fontId="65" fillId="12" borderId="12" xfId="0" applyFont="1" applyFill="1" applyBorder="1" applyProtection="1">
      <protection locked="0"/>
    </xf>
    <xf numFmtId="10" fontId="65" fillId="12" borderId="12" xfId="0" applyNumberFormat="1" applyFont="1" applyFill="1" applyBorder="1" applyAlignment="1" applyProtection="1">
      <alignment horizontal="center"/>
      <protection locked="0"/>
    </xf>
    <xf numFmtId="0" fontId="65" fillId="12" borderId="14" xfId="0" applyFont="1" applyFill="1" applyBorder="1" applyAlignment="1" applyProtection="1">
      <alignment horizontal="center"/>
      <protection locked="0"/>
    </xf>
    <xf numFmtId="0" fontId="65" fillId="0" borderId="0" xfId="0" applyFont="1" applyAlignment="1">
      <alignment horizontal="center"/>
    </xf>
    <xf numFmtId="0" fontId="45" fillId="5" borderId="3" xfId="0" applyFont="1" applyFill="1" applyBorder="1" applyAlignment="1" applyProtection="1">
      <alignment horizontal="center" vertical="center" wrapText="1"/>
      <protection hidden="1"/>
    </xf>
    <xf numFmtId="0" fontId="65" fillId="0" borderId="0" xfId="0" applyFont="1" applyAlignment="1">
      <alignment wrapText="1"/>
    </xf>
    <xf numFmtId="0" fontId="45" fillId="5" borderId="42" xfId="0" applyFont="1" applyFill="1" applyBorder="1" applyAlignment="1" applyProtection="1">
      <alignment horizontal="left"/>
      <protection hidden="1"/>
    </xf>
    <xf numFmtId="173" fontId="45" fillId="5" borderId="32" xfId="0" applyNumberFormat="1" applyFont="1" applyFill="1" applyBorder="1" applyAlignment="1" applyProtection="1">
      <alignment horizontal="center"/>
      <protection hidden="1"/>
    </xf>
    <xf numFmtId="0" fontId="45" fillId="5" borderId="21" xfId="0" applyFont="1" applyFill="1" applyBorder="1" applyProtection="1">
      <protection hidden="1"/>
    </xf>
    <xf numFmtId="4" fontId="45" fillId="5" borderId="43" xfId="0" applyNumberFormat="1" applyFont="1" applyFill="1" applyBorder="1" applyAlignment="1">
      <alignment horizontal="center"/>
    </xf>
    <xf numFmtId="0" fontId="45" fillId="5" borderId="21" xfId="0" applyFont="1" applyFill="1" applyBorder="1"/>
    <xf numFmtId="0" fontId="45" fillId="5" borderId="5" xfId="0" applyFont="1" applyFill="1" applyBorder="1" applyAlignment="1" applyProtection="1">
      <alignment horizontal="left"/>
      <protection hidden="1"/>
    </xf>
    <xf numFmtId="173" fontId="45" fillId="5" borderId="16" xfId="0" applyNumberFormat="1" applyFont="1" applyFill="1" applyBorder="1" applyAlignment="1" applyProtection="1">
      <alignment horizontal="center"/>
      <protection hidden="1"/>
    </xf>
    <xf numFmtId="0" fontId="45" fillId="5" borderId="15" xfId="0" applyFont="1" applyFill="1" applyBorder="1" applyProtection="1">
      <protection hidden="1"/>
    </xf>
    <xf numFmtId="4" fontId="45" fillId="5" borderId="6" xfId="0" applyNumberFormat="1" applyFont="1" applyFill="1" applyBorder="1" applyAlignment="1">
      <alignment horizontal="center"/>
    </xf>
    <xf numFmtId="0" fontId="45" fillId="5" borderId="15" xfId="0" applyFont="1" applyFill="1" applyBorder="1"/>
    <xf numFmtId="165" fontId="45" fillId="5" borderId="6" xfId="0" applyNumberFormat="1" applyFont="1" applyFill="1" applyBorder="1" applyAlignment="1">
      <alignment horizontal="center"/>
    </xf>
    <xf numFmtId="10" fontId="45" fillId="5" borderId="16" xfId="0" applyNumberFormat="1" applyFont="1" applyFill="1" applyBorder="1" applyAlignment="1" applyProtection="1">
      <alignment horizontal="center"/>
      <protection hidden="1"/>
    </xf>
    <xf numFmtId="0" fontId="65" fillId="5" borderId="15" xfId="0" applyFont="1" applyFill="1" applyBorder="1" applyAlignment="1">
      <alignment horizontal="center"/>
    </xf>
    <xf numFmtId="165" fontId="45" fillId="5" borderId="6" xfId="0" applyNumberFormat="1" applyFont="1" applyFill="1" applyBorder="1" applyAlignment="1" applyProtection="1">
      <alignment horizontal="center"/>
      <protection hidden="1"/>
    </xf>
    <xf numFmtId="0" fontId="45" fillId="5" borderId="7" xfId="0" applyFont="1" applyFill="1" applyBorder="1" applyProtection="1">
      <protection hidden="1"/>
    </xf>
    <xf numFmtId="10" fontId="45" fillId="5" borderId="17" xfId="0" applyNumberFormat="1" applyFont="1" applyFill="1" applyBorder="1" applyAlignment="1" applyProtection="1">
      <alignment horizontal="center"/>
      <protection hidden="1"/>
    </xf>
    <xf numFmtId="10" fontId="45" fillId="5" borderId="14" xfId="0" applyNumberFormat="1" applyFont="1" applyFill="1" applyBorder="1" applyAlignment="1" applyProtection="1">
      <protection hidden="1"/>
    </xf>
    <xf numFmtId="165" fontId="45" fillId="5" borderId="8" xfId="0" applyNumberFormat="1" applyFont="1" applyFill="1" applyBorder="1" applyAlignment="1">
      <alignment horizontal="center"/>
    </xf>
    <xf numFmtId="0" fontId="45" fillId="5" borderId="14" xfId="0" applyFont="1" applyFill="1" applyBorder="1" applyAlignment="1" applyProtection="1">
      <protection hidden="1"/>
    </xf>
    <xf numFmtId="164" fontId="65" fillId="3" borderId="4" xfId="0" applyNumberFormat="1" applyFont="1" applyFill="1" applyBorder="1" applyAlignment="1" applyProtection="1">
      <alignment horizontal="center"/>
      <protection hidden="1"/>
    </xf>
    <xf numFmtId="0" fontId="65" fillId="0" borderId="0" xfId="0" applyFont="1" applyProtection="1">
      <protection hidden="1"/>
    </xf>
    <xf numFmtId="0" fontId="61" fillId="0" borderId="0" xfId="0" applyFont="1" applyFill="1" applyBorder="1" applyAlignment="1" applyProtection="1">
      <alignment horizontal="right"/>
      <protection hidden="1"/>
    </xf>
    <xf numFmtId="164" fontId="65" fillId="8" borderId="4" xfId="0" applyNumberFormat="1" applyFont="1" applyFill="1" applyBorder="1" applyAlignment="1" applyProtection="1">
      <alignment horizontal="center"/>
      <protection hidden="1"/>
    </xf>
    <xf numFmtId="0" fontId="68" fillId="0" borderId="0" xfId="0" applyFont="1" applyBorder="1" applyAlignment="1" applyProtection="1">
      <alignment horizontal="center"/>
      <protection hidden="1"/>
    </xf>
    <xf numFmtId="0" fontId="68" fillId="0" borderId="0" xfId="0" applyFont="1" applyBorder="1" applyAlignment="1" applyProtection="1">
      <alignment horizontal="right"/>
      <protection hidden="1"/>
    </xf>
    <xf numFmtId="164" fontId="65" fillId="2" borderId="4" xfId="0" applyNumberFormat="1" applyFont="1" applyFill="1" applyBorder="1" applyAlignment="1" applyProtection="1">
      <alignment horizontal="center" vertical="center"/>
      <protection locked="0"/>
    </xf>
    <xf numFmtId="0" fontId="69" fillId="0" borderId="0" xfId="0" applyFont="1" applyBorder="1" applyAlignment="1" applyProtection="1">
      <alignment horizontal="left" vertical="center" wrapText="1"/>
      <protection hidden="1"/>
    </xf>
    <xf numFmtId="0" fontId="69" fillId="0" borderId="0" xfId="0" applyFont="1" applyBorder="1" applyAlignment="1">
      <alignment vertical="center" wrapText="1"/>
    </xf>
    <xf numFmtId="0" fontId="45" fillId="3" borderId="3" xfId="0" applyFont="1" applyFill="1" applyBorder="1" applyAlignment="1" applyProtection="1">
      <alignment horizontal="center" vertical="center" wrapText="1"/>
      <protection hidden="1"/>
    </xf>
    <xf numFmtId="0" fontId="45" fillId="3" borderId="42" xfId="0" applyFont="1" applyFill="1" applyBorder="1" applyAlignment="1" applyProtection="1">
      <protection hidden="1"/>
    </xf>
    <xf numFmtId="173" fontId="45" fillId="3" borderId="32" xfId="0" applyNumberFormat="1" applyFont="1" applyFill="1" applyBorder="1" applyAlignment="1" applyProtection="1">
      <alignment horizontal="center"/>
      <protection hidden="1"/>
    </xf>
    <xf numFmtId="0" fontId="45" fillId="3" borderId="21" xfId="0" applyFont="1" applyFill="1" applyBorder="1" applyProtection="1">
      <protection hidden="1"/>
    </xf>
    <xf numFmtId="4" fontId="45" fillId="3" borderId="43" xfId="0" applyNumberFormat="1" applyFont="1" applyFill="1" applyBorder="1" applyAlignment="1">
      <alignment horizontal="center"/>
    </xf>
    <xf numFmtId="0" fontId="45" fillId="3" borderId="21" xfId="0" applyFont="1" applyFill="1" applyBorder="1"/>
    <xf numFmtId="0" fontId="45" fillId="3" borderId="5" xfId="0" applyFont="1" applyFill="1" applyBorder="1" applyAlignment="1" applyProtection="1">
      <alignment horizontal="left"/>
      <protection hidden="1"/>
    </xf>
    <xf numFmtId="173" fontId="45" fillId="3" borderId="16" xfId="0" applyNumberFormat="1" applyFont="1" applyFill="1" applyBorder="1" applyAlignment="1" applyProtection="1">
      <alignment horizontal="center"/>
      <protection hidden="1"/>
    </xf>
    <xf numFmtId="0" fontId="45" fillId="3" borderId="15" xfId="0" applyFont="1" applyFill="1" applyBorder="1" applyProtection="1">
      <protection hidden="1"/>
    </xf>
    <xf numFmtId="4" fontId="45" fillId="3" borderId="6" xfId="0" applyNumberFormat="1" applyFont="1" applyFill="1" applyBorder="1" applyAlignment="1">
      <alignment horizontal="center"/>
    </xf>
    <xf numFmtId="0" fontId="45" fillId="3" borderId="15" xfId="0" applyFont="1" applyFill="1" applyBorder="1"/>
    <xf numFmtId="0" fontId="45" fillId="3" borderId="5" xfId="0" applyFont="1" applyFill="1" applyBorder="1" applyAlignment="1" applyProtection="1">
      <protection hidden="1"/>
    </xf>
    <xf numFmtId="165" fontId="45" fillId="3" borderId="6" xfId="0" applyNumberFormat="1" applyFont="1" applyFill="1" applyBorder="1" applyAlignment="1">
      <alignment horizontal="center"/>
    </xf>
    <xf numFmtId="10" fontId="45" fillId="3" borderId="16" xfId="0" applyNumberFormat="1" applyFont="1" applyFill="1" applyBorder="1" applyAlignment="1" applyProtection="1">
      <alignment horizontal="center"/>
      <protection hidden="1"/>
    </xf>
    <xf numFmtId="0" fontId="65" fillId="3" borderId="15" xfId="0" applyFont="1" applyFill="1" applyBorder="1" applyProtection="1">
      <protection hidden="1"/>
    </xf>
    <xf numFmtId="165" fontId="45" fillId="3" borderId="6" xfId="0" applyNumberFormat="1" applyFont="1" applyFill="1" applyBorder="1" applyAlignment="1" applyProtection="1">
      <alignment horizontal="center"/>
      <protection hidden="1"/>
    </xf>
    <xf numFmtId="0" fontId="45" fillId="3" borderId="7" xfId="0" applyFont="1" applyFill="1" applyBorder="1" applyAlignment="1" applyProtection="1">
      <protection hidden="1"/>
    </xf>
    <xf numFmtId="10" fontId="45" fillId="3" borderId="17" xfId="0" applyNumberFormat="1" applyFont="1" applyFill="1" applyBorder="1" applyAlignment="1" applyProtection="1">
      <alignment horizontal="center"/>
      <protection hidden="1"/>
    </xf>
    <xf numFmtId="0" fontId="65" fillId="3" borderId="14" xfId="0" applyFont="1" applyFill="1" applyBorder="1" applyProtection="1">
      <protection hidden="1"/>
    </xf>
    <xf numFmtId="165" fontId="45" fillId="3" borderId="8" xfId="0" applyNumberFormat="1" applyFont="1" applyFill="1" applyBorder="1" applyAlignment="1">
      <alignment horizontal="center"/>
    </xf>
    <xf numFmtId="0" fontId="45" fillId="3" borderId="14" xfId="0" applyFont="1" applyFill="1" applyBorder="1" applyAlignment="1" applyProtection="1">
      <protection hidden="1"/>
    </xf>
    <xf numFmtId="0" fontId="44" fillId="0" borderId="0" xfId="0" applyFont="1" applyAlignment="1">
      <alignment horizontal="center" vertical="center"/>
    </xf>
    <xf numFmtId="0" fontId="65" fillId="0" borderId="0" xfId="0" applyFont="1" applyAlignment="1">
      <alignment horizontal="right"/>
    </xf>
    <xf numFmtId="0" fontId="65" fillId="0" borderId="0" xfId="0" applyFont="1" applyFill="1" applyBorder="1" applyAlignment="1" applyProtection="1">
      <alignment horizontal="left"/>
      <protection hidden="1"/>
    </xf>
    <xf numFmtId="170" fontId="40" fillId="14" borderId="1" xfId="0" applyNumberFormat="1" applyFont="1" applyFill="1" applyBorder="1" applyAlignment="1" applyProtection="1">
      <protection hidden="1"/>
    </xf>
    <xf numFmtId="3" fontId="40" fillId="14" borderId="1" xfId="0" applyNumberFormat="1" applyFont="1" applyFill="1" applyBorder="1" applyAlignment="1" applyProtection="1">
      <alignment horizontal="center"/>
      <protection hidden="1"/>
    </xf>
    <xf numFmtId="0" fontId="40" fillId="0" borderId="1" xfId="0" applyFont="1" applyBorder="1"/>
    <xf numFmtId="0" fontId="57" fillId="0" borderId="0" xfId="0" applyFont="1" applyFill="1" applyAlignment="1" applyProtection="1">
      <alignment vertical="center" wrapText="1"/>
      <protection hidden="1"/>
    </xf>
    <xf numFmtId="0" fontId="57" fillId="0" borderId="0" xfId="0" applyFont="1" applyFill="1" applyAlignment="1" applyProtection="1">
      <alignment horizontal="left" vertical="center" wrapText="1"/>
      <protection hidden="1"/>
    </xf>
    <xf numFmtId="0" fontId="40" fillId="12" borderId="4" xfId="0" applyFont="1" applyFill="1" applyBorder="1" applyAlignment="1" applyProtection="1">
      <alignment horizontal="center" vertical="center"/>
      <protection locked="0"/>
    </xf>
    <xf numFmtId="0" fontId="40" fillId="0" borderId="0" xfId="0" applyFont="1" applyFill="1" applyBorder="1" applyAlignment="1">
      <alignment vertical="center" wrapText="1"/>
    </xf>
    <xf numFmtId="0" fontId="40" fillId="0" borderId="25" xfId="0" applyFont="1" applyFill="1" applyBorder="1" applyAlignment="1" applyProtection="1">
      <alignment vertical="center"/>
      <protection hidden="1"/>
    </xf>
    <xf numFmtId="0" fontId="40" fillId="0" borderId="0" xfId="0" applyFont="1" applyFill="1" applyBorder="1" applyAlignment="1">
      <alignment horizontal="center"/>
    </xf>
    <xf numFmtId="0" fontId="40" fillId="0" borderId="0" xfId="0" applyFont="1" applyFill="1" applyBorder="1" applyAlignment="1" applyProtection="1">
      <alignment horizontal="center" vertical="center"/>
      <protection locked="0"/>
    </xf>
    <xf numFmtId="0" fontId="40" fillId="2" borderId="9" xfId="0" applyFont="1" applyFill="1" applyBorder="1" applyAlignment="1" applyProtection="1">
      <alignment horizontal="center" vertical="center"/>
      <protection locked="0"/>
    </xf>
    <xf numFmtId="0" fontId="40" fillId="2" borderId="11" xfId="0" applyFont="1" applyFill="1" applyBorder="1" applyAlignment="1" applyProtection="1">
      <alignment horizontal="center" vertical="center"/>
      <protection locked="0"/>
    </xf>
    <xf numFmtId="0" fontId="40" fillId="0" borderId="0" xfId="0" applyFont="1" applyBorder="1" applyAlignment="1">
      <alignment vertical="center" wrapText="1"/>
    </xf>
    <xf numFmtId="0" fontId="32" fillId="0" borderId="0" xfId="0" applyFont="1" applyFill="1" applyBorder="1" applyAlignment="1">
      <alignment vertical="center" wrapText="1"/>
    </xf>
    <xf numFmtId="0" fontId="32" fillId="0" borderId="0" xfId="0" applyFont="1" applyFill="1" applyBorder="1" applyAlignment="1" applyProtection="1">
      <alignment horizontal="center" vertical="center"/>
    </xf>
    <xf numFmtId="0" fontId="44" fillId="0" borderId="0" xfId="0" applyFont="1" applyFill="1" applyBorder="1" applyAlignment="1">
      <alignment vertical="center" wrapText="1"/>
    </xf>
    <xf numFmtId="0" fontId="40" fillId="0" borderId="27" xfId="0" applyFont="1" applyBorder="1" applyAlignment="1">
      <alignment vertical="center" wrapText="1"/>
    </xf>
    <xf numFmtId="0" fontId="48" fillId="0" borderId="0" xfId="0" applyFont="1" applyAlignment="1"/>
    <xf numFmtId="0" fontId="41" fillId="17" borderId="16" xfId="0" applyFont="1" applyFill="1" applyBorder="1" applyAlignment="1">
      <alignment horizontal="center" vertical="center"/>
    </xf>
    <xf numFmtId="0" fontId="73" fillId="17" borderId="16" xfId="0" applyFont="1" applyFill="1" applyBorder="1" applyAlignment="1" applyProtection="1">
      <alignment horizontal="center" vertical="center"/>
      <protection hidden="1"/>
    </xf>
    <xf numFmtId="0" fontId="73" fillId="17" borderId="1" xfId="0" applyFont="1" applyFill="1" applyBorder="1" applyAlignment="1" applyProtection="1">
      <alignment horizontal="center" vertical="center"/>
      <protection hidden="1"/>
    </xf>
    <xf numFmtId="0" fontId="73" fillId="17" borderId="1" xfId="0" applyFont="1" applyFill="1" applyBorder="1" applyAlignment="1" applyProtection="1">
      <alignment vertical="center"/>
      <protection hidden="1"/>
    </xf>
    <xf numFmtId="0" fontId="73" fillId="17" borderId="1" xfId="0" applyFont="1" applyFill="1" applyBorder="1" applyAlignment="1">
      <alignment horizontal="left" vertical="center"/>
    </xf>
    <xf numFmtId="0" fontId="73" fillId="17" borderId="12" xfId="0" applyFont="1" applyFill="1" applyBorder="1" applyAlignment="1">
      <alignment horizontal="left" vertical="center"/>
    </xf>
    <xf numFmtId="0" fontId="74" fillId="0" borderId="0" xfId="0" applyFont="1" applyFill="1" applyBorder="1" applyAlignment="1" applyProtection="1">
      <alignment horizontal="center" vertical="center"/>
      <protection hidden="1"/>
    </xf>
    <xf numFmtId="0" fontId="74" fillId="0" borderId="0" xfId="0" applyFont="1" applyFill="1" applyBorder="1" applyAlignment="1" applyProtection="1">
      <alignment vertical="center"/>
      <protection hidden="1"/>
    </xf>
    <xf numFmtId="172" fontId="46" fillId="14" borderId="11" xfId="0" applyNumberFormat="1" applyFont="1" applyFill="1" applyBorder="1"/>
    <xf numFmtId="1" fontId="44" fillId="2" borderId="1" xfId="0" applyNumberFormat="1" applyFont="1" applyFill="1" applyBorder="1" applyProtection="1">
      <protection locked="0"/>
    </xf>
    <xf numFmtId="0" fontId="44" fillId="0" borderId="0" xfId="0" applyFont="1" applyAlignment="1">
      <alignment horizontal="right"/>
    </xf>
    <xf numFmtId="0" fontId="40" fillId="0" borderId="0" xfId="0" applyFont="1" applyFill="1" applyBorder="1" applyAlignment="1">
      <alignment vertical="center"/>
    </xf>
    <xf numFmtId="0" fontId="46" fillId="0" borderId="0" xfId="0" applyFont="1" applyFill="1" applyBorder="1" applyAlignment="1"/>
    <xf numFmtId="0" fontId="46" fillId="0" borderId="0" xfId="0" applyFont="1" applyFill="1" applyBorder="1" applyAlignment="1">
      <alignment horizontal="center"/>
    </xf>
    <xf numFmtId="0" fontId="44" fillId="0" borderId="0" xfId="0" applyFont="1" applyFill="1" applyBorder="1" applyAlignment="1" applyProtection="1">
      <alignment horizontal="center"/>
      <protection hidden="1"/>
    </xf>
    <xf numFmtId="0" fontId="44" fillId="0" borderId="0" xfId="0" applyFont="1" applyFill="1" applyBorder="1" applyAlignment="1"/>
    <xf numFmtId="0" fontId="45" fillId="0" borderId="0" xfId="0" applyFont="1" applyFill="1" applyBorder="1" applyAlignment="1">
      <alignment vertical="center"/>
    </xf>
    <xf numFmtId="0" fontId="45" fillId="17" borderId="1" xfId="0" applyFont="1" applyFill="1" applyBorder="1" applyAlignment="1"/>
    <xf numFmtId="0" fontId="45" fillId="17" borderId="1" xfId="0" applyFont="1" applyFill="1" applyBorder="1"/>
    <xf numFmtId="1" fontId="45" fillId="17" borderId="1" xfId="0" applyNumberFormat="1" applyFont="1" applyFill="1" applyBorder="1" applyAlignment="1" applyProtection="1">
      <alignment horizontal="center"/>
      <protection hidden="1"/>
    </xf>
    <xf numFmtId="0" fontId="45" fillId="17" borderId="1" xfId="0" applyFont="1" applyFill="1" applyBorder="1" applyAlignment="1">
      <alignment horizontal="center" vertical="center"/>
    </xf>
    <xf numFmtId="0" fontId="32" fillId="2" borderId="1" xfId="0" applyFont="1" applyFill="1" applyBorder="1" applyAlignment="1" applyProtection="1">
      <alignment horizontal="center"/>
      <protection locked="0"/>
    </xf>
    <xf numFmtId="0" fontId="32" fillId="12" borderId="1" xfId="0" applyFont="1" applyFill="1" applyBorder="1" applyAlignment="1" applyProtection="1">
      <alignment horizontal="center"/>
      <protection locked="0"/>
    </xf>
    <xf numFmtId="170" fontId="45" fillId="0" borderId="10" xfId="0" applyNumberFormat="1" applyFont="1" applyFill="1" applyBorder="1" applyAlignment="1"/>
    <xf numFmtId="0" fontId="44" fillId="0" borderId="1" xfId="0" applyFont="1" applyBorder="1" applyAlignment="1">
      <alignment horizontal="center" wrapText="1"/>
    </xf>
    <xf numFmtId="10" fontId="44" fillId="0" borderId="1" xfId="0" applyNumberFormat="1" applyFont="1" applyBorder="1" applyAlignment="1">
      <alignment horizontal="center" wrapText="1"/>
    </xf>
    <xf numFmtId="1" fontId="44" fillId="0" borderId="1" xfId="0" applyNumberFormat="1" applyFont="1" applyBorder="1"/>
    <xf numFmtId="10" fontId="44" fillId="0" borderId="1" xfId="0" applyNumberFormat="1" applyFont="1" applyBorder="1"/>
    <xf numFmtId="0" fontId="32" fillId="0" borderId="1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5" xfId="0" applyFont="1" applyBorder="1" applyAlignment="1">
      <alignment horizontal="center" wrapText="1"/>
    </xf>
    <xf numFmtId="0" fontId="32" fillId="0" borderId="15" xfId="0" applyFont="1" applyBorder="1" applyAlignment="1">
      <alignment horizontal="center" vertical="center" wrapText="1"/>
    </xf>
    <xf numFmtId="0" fontId="40" fillId="3" borderId="42" xfId="0" applyFont="1" applyFill="1" applyBorder="1" applyAlignment="1" applyProtection="1">
      <alignment vertical="center"/>
      <protection hidden="1"/>
    </xf>
    <xf numFmtId="173" fontId="40" fillId="3" borderId="32" xfId="0" applyNumberFormat="1" applyFont="1" applyFill="1" applyBorder="1" applyAlignment="1" applyProtection="1">
      <alignment horizontal="center" vertical="center"/>
      <protection hidden="1"/>
    </xf>
    <xf numFmtId="0" fontId="40" fillId="3" borderId="21" xfId="0" applyFont="1" applyFill="1" applyBorder="1" applyAlignment="1" applyProtection="1">
      <alignment vertical="center"/>
      <protection hidden="1"/>
    </xf>
    <xf numFmtId="4" fontId="40" fillId="3" borderId="43" xfId="0" applyNumberFormat="1" applyFont="1" applyFill="1" applyBorder="1" applyAlignment="1">
      <alignment horizontal="center" vertical="center"/>
    </xf>
    <xf numFmtId="0" fontId="40" fillId="3" borderId="21" xfId="0" applyFont="1" applyFill="1" applyBorder="1" applyAlignment="1">
      <alignment vertical="center"/>
    </xf>
    <xf numFmtId="0" fontId="40" fillId="3" borderId="5" xfId="0" applyFont="1" applyFill="1" applyBorder="1" applyAlignment="1" applyProtection="1">
      <alignment horizontal="left" vertical="center"/>
      <protection hidden="1"/>
    </xf>
    <xf numFmtId="173" fontId="40" fillId="3" borderId="16" xfId="0" applyNumberFormat="1" applyFont="1" applyFill="1" applyBorder="1" applyAlignment="1" applyProtection="1">
      <alignment horizontal="center" vertical="center"/>
      <protection hidden="1"/>
    </xf>
    <xf numFmtId="0" fontId="40" fillId="3" borderId="15" xfId="0" applyFont="1" applyFill="1" applyBorder="1" applyAlignment="1" applyProtection="1">
      <alignment vertical="center"/>
      <protection hidden="1"/>
    </xf>
    <xf numFmtId="4" fontId="40" fillId="3" borderId="6" xfId="0" applyNumberFormat="1" applyFont="1" applyFill="1" applyBorder="1" applyAlignment="1">
      <alignment horizontal="center" vertical="center"/>
    </xf>
    <xf numFmtId="0" fontId="40" fillId="3" borderId="15" xfId="0" applyFont="1" applyFill="1" applyBorder="1" applyAlignment="1">
      <alignment vertical="center"/>
    </xf>
    <xf numFmtId="0" fontId="40" fillId="3" borderId="5" xfId="0" applyFont="1" applyFill="1" applyBorder="1" applyAlignment="1" applyProtection="1">
      <alignment vertical="center"/>
      <protection hidden="1"/>
    </xf>
    <xf numFmtId="165" fontId="40" fillId="3" borderId="6" xfId="0" applyNumberFormat="1" applyFont="1" applyFill="1" applyBorder="1" applyAlignment="1">
      <alignment horizontal="center" vertical="center"/>
    </xf>
    <xf numFmtId="10" fontId="40" fillId="3" borderId="16" xfId="0" applyNumberFormat="1" applyFont="1" applyFill="1" applyBorder="1" applyAlignment="1" applyProtection="1">
      <alignment horizontal="center" vertical="center"/>
      <protection hidden="1"/>
    </xf>
    <xf numFmtId="0" fontId="32" fillId="3" borderId="15" xfId="0" applyFont="1" applyFill="1" applyBorder="1" applyAlignment="1" applyProtection="1">
      <alignment vertical="center"/>
      <protection hidden="1"/>
    </xf>
    <xf numFmtId="165" fontId="40" fillId="3" borderId="6" xfId="0" applyNumberFormat="1" applyFont="1" applyFill="1" applyBorder="1" applyAlignment="1" applyProtection="1">
      <alignment horizontal="center" vertical="center"/>
      <protection hidden="1"/>
    </xf>
    <xf numFmtId="0" fontId="40" fillId="3" borderId="7" xfId="0" applyFont="1" applyFill="1" applyBorder="1" applyAlignment="1" applyProtection="1">
      <alignment vertical="center"/>
      <protection hidden="1"/>
    </xf>
    <xf numFmtId="10" fontId="40" fillId="3" borderId="17" xfId="0" applyNumberFormat="1" applyFont="1" applyFill="1" applyBorder="1" applyAlignment="1" applyProtection="1">
      <alignment horizontal="center" vertical="center"/>
      <protection hidden="1"/>
    </xf>
    <xf numFmtId="0" fontId="32" fillId="3" borderId="14" xfId="0" applyFont="1" applyFill="1" applyBorder="1" applyAlignment="1" applyProtection="1">
      <alignment vertical="center"/>
      <protection hidden="1"/>
    </xf>
    <xf numFmtId="165" fontId="40" fillId="3" borderId="8" xfId="0" applyNumberFormat="1" applyFont="1" applyFill="1" applyBorder="1" applyAlignment="1">
      <alignment horizontal="center" vertical="center"/>
    </xf>
    <xf numFmtId="0" fontId="40" fillId="3" borderId="14" xfId="0" applyFont="1" applyFill="1" applyBorder="1" applyAlignment="1" applyProtection="1">
      <alignment vertical="center"/>
      <protection hidden="1"/>
    </xf>
    <xf numFmtId="0" fontId="40" fillId="5" borderId="42" xfId="0" applyFont="1" applyFill="1" applyBorder="1" applyAlignment="1" applyProtection="1">
      <alignment horizontal="left" vertical="center"/>
      <protection hidden="1"/>
    </xf>
    <xf numFmtId="173" fontId="40" fillId="5" borderId="32" xfId="0" applyNumberFormat="1" applyFont="1" applyFill="1" applyBorder="1" applyAlignment="1" applyProtection="1">
      <alignment horizontal="center" vertical="center"/>
      <protection hidden="1"/>
    </xf>
    <xf numFmtId="0" fontId="40" fillId="5" borderId="21" xfId="0" applyFont="1" applyFill="1" applyBorder="1" applyAlignment="1" applyProtection="1">
      <alignment vertical="center"/>
      <protection hidden="1"/>
    </xf>
    <xf numFmtId="4" fontId="40" fillId="5" borderId="43" xfId="0" applyNumberFormat="1" applyFont="1" applyFill="1" applyBorder="1" applyAlignment="1">
      <alignment horizontal="center" vertical="center"/>
    </xf>
    <xf numFmtId="0" fontId="40" fillId="5" borderId="21" xfId="0" applyFont="1" applyFill="1" applyBorder="1" applyAlignment="1">
      <alignment vertical="center"/>
    </xf>
    <xf numFmtId="0" fontId="40" fillId="5" borderId="5" xfId="0" applyFont="1" applyFill="1" applyBorder="1" applyAlignment="1" applyProtection="1">
      <alignment horizontal="left" vertical="center"/>
      <protection hidden="1"/>
    </xf>
    <xf numFmtId="173" fontId="40" fillId="5" borderId="16" xfId="0" applyNumberFormat="1" applyFont="1" applyFill="1" applyBorder="1" applyAlignment="1" applyProtection="1">
      <alignment horizontal="center" vertical="center"/>
      <protection hidden="1"/>
    </xf>
    <xf numFmtId="0" fontId="40" fillId="5" borderId="15" xfId="0" applyFont="1" applyFill="1" applyBorder="1" applyAlignment="1" applyProtection="1">
      <alignment vertical="center"/>
      <protection hidden="1"/>
    </xf>
    <xf numFmtId="4" fontId="40" fillId="5" borderId="6" xfId="0" applyNumberFormat="1" applyFont="1" applyFill="1" applyBorder="1" applyAlignment="1">
      <alignment horizontal="center" vertical="center"/>
    </xf>
    <xf numFmtId="0" fontId="40" fillId="5" borderId="15" xfId="0" applyFont="1" applyFill="1" applyBorder="1" applyAlignment="1">
      <alignment vertical="center"/>
    </xf>
    <xf numFmtId="165" fontId="40" fillId="5" borderId="6" xfId="0" applyNumberFormat="1" applyFont="1" applyFill="1" applyBorder="1" applyAlignment="1">
      <alignment horizontal="center" vertical="center"/>
    </xf>
    <xf numFmtId="10" fontId="40" fillId="5" borderId="16" xfId="0" applyNumberFormat="1" applyFont="1" applyFill="1" applyBorder="1" applyAlignment="1" applyProtection="1">
      <alignment horizontal="center" vertical="center"/>
      <protection hidden="1"/>
    </xf>
    <xf numFmtId="0" fontId="32" fillId="5" borderId="15" xfId="0" applyFont="1" applyFill="1" applyBorder="1" applyAlignment="1">
      <alignment horizontal="center" vertical="center"/>
    </xf>
    <xf numFmtId="165" fontId="40" fillId="5" borderId="6" xfId="0" applyNumberFormat="1" applyFont="1" applyFill="1" applyBorder="1" applyAlignment="1" applyProtection="1">
      <alignment horizontal="center" vertical="center"/>
      <protection hidden="1"/>
    </xf>
    <xf numFmtId="165" fontId="40" fillId="5" borderId="8" xfId="0" applyNumberFormat="1" applyFont="1" applyFill="1" applyBorder="1" applyAlignment="1">
      <alignment horizontal="center" vertical="center"/>
    </xf>
    <xf numFmtId="0" fontId="40" fillId="5" borderId="14" xfId="0" applyFont="1" applyFill="1" applyBorder="1" applyAlignment="1" applyProtection="1">
      <alignment vertical="center"/>
      <protection hidden="1"/>
    </xf>
    <xf numFmtId="0" fontId="65" fillId="0" borderId="16" xfId="0" applyFont="1" applyBorder="1" applyAlignment="1">
      <alignment horizontal="center" wrapText="1"/>
    </xf>
    <xf numFmtId="0" fontId="65" fillId="0" borderId="15" xfId="0" applyFont="1" applyBorder="1" applyAlignment="1">
      <alignment horizontal="center" wrapText="1"/>
    </xf>
    <xf numFmtId="0" fontId="65" fillId="0" borderId="16" xfId="0" applyFont="1" applyBorder="1" applyAlignment="1">
      <alignment horizontal="center"/>
    </xf>
    <xf numFmtId="9" fontId="65" fillId="0" borderId="15" xfId="0" applyNumberFormat="1" applyFont="1" applyBorder="1" applyAlignment="1">
      <alignment horizontal="center"/>
    </xf>
    <xf numFmtId="9" fontId="65" fillId="0" borderId="15" xfId="0" applyNumberFormat="1" applyFont="1" applyBorder="1" applyAlignment="1">
      <alignment horizontal="center" wrapText="1"/>
    </xf>
    <xf numFmtId="0" fontId="65" fillId="0" borderId="17" xfId="0" applyFont="1" applyBorder="1" applyAlignment="1">
      <alignment horizontal="center"/>
    </xf>
    <xf numFmtId="9" fontId="65" fillId="0" borderId="14" xfId="0" applyNumberFormat="1" applyFont="1" applyBorder="1" applyAlignment="1">
      <alignment horizontal="center"/>
    </xf>
    <xf numFmtId="0" fontId="32" fillId="0" borderId="0" xfId="0" applyFont="1" applyAlignment="1">
      <alignment horizontal="left" vertical="center"/>
    </xf>
    <xf numFmtId="3" fontId="44" fillId="2" borderId="1" xfId="0" applyNumberFormat="1" applyFont="1" applyFill="1" applyBorder="1" applyAlignment="1" applyProtection="1">
      <alignment horizontal="center"/>
      <protection locked="0"/>
    </xf>
    <xf numFmtId="10" fontId="44" fillId="2" borderId="1" xfId="0" applyNumberFormat="1" applyFont="1" applyFill="1" applyBorder="1" applyAlignment="1" applyProtection="1">
      <alignment horizontal="center"/>
      <protection locked="0"/>
    </xf>
    <xf numFmtId="0" fontId="65" fillId="12" borderId="20" xfId="0" applyFont="1" applyFill="1" applyBorder="1" applyProtection="1">
      <protection locked="0"/>
    </xf>
    <xf numFmtId="10" fontId="65" fillId="12" borderId="20" xfId="0" applyNumberFormat="1" applyFont="1" applyFill="1" applyBorder="1" applyAlignment="1" applyProtection="1">
      <alignment horizontal="center"/>
      <protection locked="0"/>
    </xf>
    <xf numFmtId="0" fontId="65" fillId="12" borderId="21" xfId="0" applyFont="1" applyFill="1" applyBorder="1" applyAlignment="1" applyProtection="1">
      <alignment horizontal="center"/>
      <protection locked="0"/>
    </xf>
    <xf numFmtId="0" fontId="80" fillId="0" borderId="0" xfId="0" applyFont="1" applyFill="1" applyBorder="1" applyAlignment="1" applyProtection="1">
      <alignment horizontal="center"/>
      <protection hidden="1"/>
    </xf>
    <xf numFmtId="0" fontId="81" fillId="0" borderId="0" xfId="0" applyFont="1" applyBorder="1" applyAlignment="1" applyProtection="1">
      <alignment horizontal="center"/>
      <protection hidden="1"/>
    </xf>
    <xf numFmtId="0" fontId="41" fillId="17" borderId="1" xfId="0" applyFont="1" applyFill="1" applyBorder="1" applyAlignment="1">
      <alignment horizontal="center" vertical="center"/>
    </xf>
    <xf numFmtId="0" fontId="73" fillId="17" borderId="1" xfId="0" applyFont="1" applyFill="1" applyBorder="1" applyAlignment="1" applyProtection="1">
      <alignment horizontal="left" vertical="center"/>
      <protection hidden="1"/>
    </xf>
    <xf numFmtId="0" fontId="73" fillId="17" borderId="17" xfId="0" applyFont="1" applyFill="1" applyBorder="1" applyAlignment="1" applyProtection="1">
      <alignment horizontal="center" vertical="center"/>
      <protection hidden="1"/>
    </xf>
    <xf numFmtId="0" fontId="73" fillId="17" borderId="12" xfId="0" applyFont="1" applyFill="1" applyBorder="1" applyAlignment="1" applyProtection="1">
      <alignment horizontal="center" vertical="center"/>
      <protection hidden="1"/>
    </xf>
    <xf numFmtId="2" fontId="19" fillId="0" borderId="0" xfId="0" applyNumberFormat="1" applyFont="1" applyAlignment="1">
      <alignment horizontal="center" vertical="center" wrapText="1"/>
    </xf>
    <xf numFmtId="164" fontId="19" fillId="0" borderId="0" xfId="0" applyNumberFormat="1" applyFont="1" applyAlignment="1">
      <alignment wrapText="1"/>
    </xf>
    <xf numFmtId="0" fontId="44" fillId="2" borderId="1" xfId="0" applyFont="1" applyFill="1" applyBorder="1" applyAlignment="1" applyProtection="1">
      <alignment horizontal="center" vertical="center"/>
      <protection locked="0"/>
    </xf>
    <xf numFmtId="0" fontId="44" fillId="2" borderId="1" xfId="0" applyNumberFormat="1" applyFont="1" applyFill="1" applyBorder="1" applyAlignment="1" applyProtection="1">
      <alignment horizontal="center" vertical="center"/>
      <protection locked="0"/>
    </xf>
    <xf numFmtId="10" fontId="44" fillId="2" borderId="1" xfId="0" applyNumberFormat="1" applyFont="1" applyFill="1" applyBorder="1" applyAlignment="1" applyProtection="1">
      <alignment horizontal="center" vertical="center"/>
      <protection locked="0"/>
    </xf>
    <xf numFmtId="167" fontId="44" fillId="2" borderId="1" xfId="0" applyNumberFormat="1" applyFont="1" applyFill="1" applyBorder="1" applyAlignment="1" applyProtection="1">
      <alignment horizontal="center" vertical="center"/>
      <protection locked="0"/>
    </xf>
    <xf numFmtId="0" fontId="0" fillId="0" borderId="0" xfId="0" applyAlignment="1">
      <alignment horizontal="center" wrapText="1"/>
    </xf>
    <xf numFmtId="0" fontId="6" fillId="0" borderId="0" xfId="0" applyFont="1" applyFill="1" applyBorder="1" applyAlignment="1">
      <alignment horizontal="center"/>
    </xf>
    <xf numFmtId="165" fontId="2" fillId="0" borderId="1" xfId="0" applyNumberFormat="1" applyFont="1" applyBorder="1" applyAlignment="1">
      <alignment horizontal="center"/>
    </xf>
    <xf numFmtId="0" fontId="6" fillId="0" borderId="1" xfId="0" applyFont="1" applyBorder="1" applyAlignment="1">
      <alignment horizontal="center"/>
    </xf>
    <xf numFmtId="0" fontId="6" fillId="0" borderId="15" xfId="0" applyFont="1" applyBorder="1" applyAlignment="1">
      <alignment horizontal="center"/>
    </xf>
    <xf numFmtId="9" fontId="6" fillId="0" borderId="1" xfId="2" applyFont="1" applyBorder="1" applyAlignment="1">
      <alignment horizontal="center"/>
    </xf>
    <xf numFmtId="9" fontId="6" fillId="0" borderId="15" xfId="2" applyFont="1" applyBorder="1" applyAlignment="1">
      <alignment horizontal="center"/>
    </xf>
    <xf numFmtId="0" fontId="0" fillId="0" borderId="45" xfId="0" applyBorder="1" applyAlignment="1">
      <alignment horizontal="center"/>
    </xf>
    <xf numFmtId="0" fontId="0" fillId="0" borderId="49" xfId="0" applyBorder="1" applyAlignment="1">
      <alignment horizontal="center"/>
    </xf>
    <xf numFmtId="0" fontId="0" fillId="0" borderId="46" xfId="0" applyBorder="1" applyAlignment="1">
      <alignment horizontal="center"/>
    </xf>
    <xf numFmtId="0" fontId="6" fillId="0" borderId="16" xfId="0" applyFont="1" applyBorder="1" applyAlignment="1">
      <alignment horizontal="center"/>
    </xf>
    <xf numFmtId="9" fontId="6" fillId="0" borderId="12" xfId="2" applyFont="1" applyBorder="1" applyAlignment="1">
      <alignment horizontal="center"/>
    </xf>
    <xf numFmtId="9" fontId="6" fillId="0" borderId="14" xfId="2" applyFont="1" applyBorder="1" applyAlignment="1">
      <alignment horizontal="center"/>
    </xf>
    <xf numFmtId="0" fontId="2" fillId="0" borderId="0" xfId="0" applyFont="1" applyAlignment="1">
      <alignment horizontal="center"/>
    </xf>
    <xf numFmtId="0" fontId="40" fillId="2" borderId="1" xfId="0" applyFont="1" applyFill="1" applyBorder="1" applyAlignment="1">
      <alignment horizontal="left" vertical="center"/>
    </xf>
    <xf numFmtId="0" fontId="40" fillId="2" borderId="15" xfId="0" applyFont="1" applyFill="1" applyBorder="1" applyAlignment="1">
      <alignment horizontal="left" vertical="center"/>
    </xf>
    <xf numFmtId="0" fontId="40" fillId="3" borderId="13" xfId="0" applyFont="1" applyFill="1" applyBorder="1" applyAlignment="1">
      <alignment horizontal="left" vertical="center" wrapText="1"/>
    </xf>
    <xf numFmtId="0" fontId="40" fillId="3" borderId="59" xfId="0" applyFont="1" applyFill="1" applyBorder="1" applyAlignment="1">
      <alignment horizontal="left" vertical="center" wrapText="1"/>
    </xf>
    <xf numFmtId="0" fontId="40" fillId="3" borderId="55" xfId="0" applyFont="1" applyFill="1" applyBorder="1" applyAlignment="1">
      <alignment horizontal="left" vertical="center" wrapText="1"/>
    </xf>
    <xf numFmtId="0" fontId="40" fillId="5" borderId="50" xfId="0" applyFont="1" applyFill="1" applyBorder="1" applyAlignment="1">
      <alignment horizontal="left" vertical="center" wrapText="1"/>
    </xf>
    <xf numFmtId="0" fontId="40" fillId="5" borderId="25" xfId="0" applyFont="1" applyFill="1" applyBorder="1" applyAlignment="1">
      <alignment horizontal="left" vertical="center" wrapText="1"/>
    </xf>
    <xf numFmtId="0" fontId="40" fillId="5" borderId="26" xfId="0" applyFont="1" applyFill="1" applyBorder="1" applyAlignment="1">
      <alignment horizontal="left" vertical="center" wrapText="1"/>
    </xf>
    <xf numFmtId="0" fontId="40" fillId="8" borderId="10" xfId="0" applyNumberFormat="1" applyFont="1" applyFill="1" applyBorder="1" applyAlignment="1">
      <alignment horizontal="left" vertical="center" wrapText="1"/>
    </xf>
    <xf numFmtId="0" fontId="40" fillId="8" borderId="9" xfId="0" applyNumberFormat="1" applyFont="1" applyFill="1" applyBorder="1" applyAlignment="1">
      <alignment horizontal="left" vertical="center" wrapText="1"/>
    </xf>
    <xf numFmtId="0" fontId="40" fillId="0" borderId="0" xfId="0" applyFont="1" applyAlignment="1">
      <alignment horizontal="center"/>
    </xf>
    <xf numFmtId="0" fontId="40" fillId="7" borderId="10" xfId="0" applyFont="1" applyFill="1" applyBorder="1" applyAlignment="1">
      <alignment horizontal="left" vertical="center" wrapText="1"/>
    </xf>
    <xf numFmtId="0" fontId="40" fillId="7" borderId="9" xfId="0" applyFont="1" applyFill="1" applyBorder="1" applyAlignment="1">
      <alignment horizontal="left" vertical="center" wrapText="1"/>
    </xf>
    <xf numFmtId="0" fontId="40" fillId="4" borderId="20" xfId="0" applyFont="1" applyFill="1" applyBorder="1" applyAlignment="1">
      <alignment vertical="center" wrapText="1"/>
    </xf>
    <xf numFmtId="0" fontId="32" fillId="4" borderId="20" xfId="0" applyFont="1" applyFill="1" applyBorder="1" applyAlignment="1">
      <alignment vertical="center"/>
    </xf>
    <xf numFmtId="0" fontId="32" fillId="4" borderId="21" xfId="0" applyFont="1" applyFill="1" applyBorder="1" applyAlignment="1">
      <alignment vertical="center"/>
    </xf>
    <xf numFmtId="0" fontId="40" fillId="8" borderId="1" xfId="0" applyFont="1" applyFill="1" applyBorder="1" applyAlignment="1">
      <alignment vertical="center" wrapText="1"/>
    </xf>
    <xf numFmtId="0" fontId="32" fillId="8" borderId="1" xfId="0" applyFont="1" applyFill="1" applyBorder="1" applyAlignment="1">
      <alignment vertical="center" wrapText="1"/>
    </xf>
    <xf numFmtId="0" fontId="32" fillId="8" borderId="15" xfId="0" applyFont="1" applyFill="1" applyBorder="1" applyAlignment="1">
      <alignment vertical="center" wrapText="1"/>
    </xf>
    <xf numFmtId="0" fontId="40" fillId="6" borderId="51" xfId="0" applyFont="1" applyFill="1" applyBorder="1" applyAlignment="1">
      <alignment horizontal="left" vertical="center" wrapText="1"/>
    </xf>
    <xf numFmtId="0" fontId="40" fillId="6" borderId="4" xfId="0" applyFont="1" applyFill="1" applyBorder="1" applyAlignment="1">
      <alignment horizontal="left" vertical="center" wrapText="1"/>
    </xf>
    <xf numFmtId="0" fontId="40" fillId="10" borderId="51" xfId="0" applyFont="1" applyFill="1" applyBorder="1" applyAlignment="1">
      <alignment horizontal="left" vertical="center" wrapText="1"/>
    </xf>
    <xf numFmtId="0" fontId="40" fillId="10" borderId="4" xfId="0" applyFont="1" applyFill="1" applyBorder="1" applyAlignment="1">
      <alignment horizontal="left" vertical="center" wrapText="1"/>
    </xf>
    <xf numFmtId="0" fontId="40" fillId="4" borderId="12" xfId="0" applyFont="1" applyFill="1" applyBorder="1" applyAlignment="1">
      <alignment horizontal="left" vertical="center" wrapText="1"/>
    </xf>
    <xf numFmtId="0" fontId="40" fillId="4" borderId="14" xfId="0" applyFont="1" applyFill="1" applyBorder="1" applyAlignment="1">
      <alignment horizontal="left" vertical="center" wrapText="1"/>
    </xf>
    <xf numFmtId="0" fontId="40" fillId="9" borderId="10" xfId="0" applyFont="1" applyFill="1" applyBorder="1" applyAlignment="1">
      <alignment horizontal="left" vertical="center" wrapText="1"/>
    </xf>
    <xf numFmtId="0" fontId="40" fillId="9" borderId="9" xfId="0" applyFont="1" applyFill="1" applyBorder="1" applyAlignment="1">
      <alignment horizontal="left" vertical="center" wrapText="1"/>
    </xf>
    <xf numFmtId="0" fontId="40" fillId="21" borderId="35" xfId="0" applyFont="1" applyFill="1" applyBorder="1" applyAlignment="1">
      <alignment horizontal="left" vertical="top" wrapText="1"/>
    </xf>
    <xf numFmtId="0" fontId="40" fillId="21" borderId="48" xfId="0" applyFont="1" applyFill="1" applyBorder="1" applyAlignment="1">
      <alignment horizontal="left" vertical="top" wrapText="1"/>
    </xf>
    <xf numFmtId="0" fontId="40" fillId="21" borderId="47" xfId="0" applyFont="1" applyFill="1" applyBorder="1" applyAlignment="1">
      <alignment horizontal="left" vertical="top" wrapText="1"/>
    </xf>
    <xf numFmtId="0" fontId="40" fillId="5" borderId="10" xfId="0" applyFont="1" applyFill="1" applyBorder="1" applyAlignment="1">
      <alignment horizontal="left" vertical="center" wrapText="1"/>
    </xf>
    <xf numFmtId="0" fontId="40" fillId="5" borderId="9" xfId="0" applyFont="1" applyFill="1" applyBorder="1" applyAlignment="1">
      <alignment horizontal="left" vertical="center" wrapText="1"/>
    </xf>
    <xf numFmtId="0" fontId="39" fillId="0" borderId="0" xfId="0" applyFont="1" applyAlignment="1">
      <alignment horizontal="center"/>
    </xf>
    <xf numFmtId="0" fontId="40" fillId="21" borderId="1" xfId="0" applyFont="1" applyFill="1" applyBorder="1" applyAlignment="1">
      <alignment horizontal="left" vertical="center" wrapText="1"/>
    </xf>
    <xf numFmtId="0" fontId="40" fillId="21" borderId="15" xfId="0" applyFont="1" applyFill="1" applyBorder="1" applyAlignment="1">
      <alignment horizontal="left" vertical="center" wrapText="1"/>
    </xf>
    <xf numFmtId="0" fontId="40" fillId="16" borderId="10" xfId="0" applyFont="1" applyFill="1" applyBorder="1" applyAlignment="1">
      <alignment horizontal="left" vertical="center" wrapText="1"/>
    </xf>
    <xf numFmtId="0" fontId="40" fillId="16" borderId="9"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9" xfId="0" applyFont="1" applyFill="1" applyBorder="1" applyAlignment="1">
      <alignment horizontal="left" vertical="center" wrapText="1"/>
    </xf>
    <xf numFmtId="0" fontId="40" fillId="3" borderId="58" xfId="0" applyFont="1" applyFill="1" applyBorder="1" applyAlignment="1">
      <alignment horizontal="left" vertical="center" wrapText="1"/>
    </xf>
    <xf numFmtId="0" fontId="40" fillId="3" borderId="49" xfId="0" applyFont="1" applyFill="1" applyBorder="1" applyAlignment="1">
      <alignment horizontal="left" vertical="center" wrapText="1"/>
    </xf>
    <xf numFmtId="0" fontId="40" fillId="3" borderId="46"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40" fillId="3" borderId="15" xfId="0" applyFont="1" applyFill="1" applyBorder="1" applyAlignment="1">
      <alignment horizontal="left" vertical="center" wrapText="1"/>
    </xf>
    <xf numFmtId="0" fontId="40" fillId="3" borderId="35"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40" fillId="3" borderId="47" xfId="0" applyFont="1" applyFill="1" applyBorder="1" applyAlignment="1">
      <alignment horizontal="left" vertical="center" wrapText="1"/>
    </xf>
    <xf numFmtId="49" fontId="40" fillId="0" borderId="0" xfId="0" applyNumberFormat="1" applyFont="1" applyAlignment="1">
      <alignment horizontal="left" vertical="center"/>
    </xf>
    <xf numFmtId="0" fontId="40" fillId="0" borderId="0" xfId="0" applyFont="1" applyAlignment="1">
      <alignment horizontal="left"/>
    </xf>
    <xf numFmtId="0" fontId="44" fillId="0" borderId="35" xfId="0" applyFont="1" applyBorder="1" applyAlignment="1" applyProtection="1">
      <alignment horizontal="center"/>
      <protection hidden="1"/>
    </xf>
    <xf numFmtId="0" fontId="44" fillId="0" borderId="6" xfId="0" applyFont="1" applyBorder="1" applyAlignment="1" applyProtection="1">
      <alignment horizontal="center"/>
      <protection hidden="1"/>
    </xf>
    <xf numFmtId="0" fontId="40" fillId="2" borderId="35" xfId="0" applyFont="1" applyFill="1" applyBorder="1" applyAlignment="1" applyProtection="1">
      <alignment horizontal="left"/>
      <protection locked="0"/>
    </xf>
    <xf numFmtId="0" fontId="40" fillId="2" borderId="48" xfId="0" applyFont="1" applyFill="1" applyBorder="1" applyAlignment="1" applyProtection="1">
      <alignment horizontal="left"/>
      <protection locked="0"/>
    </xf>
    <xf numFmtId="0" fontId="40" fillId="2" borderId="6" xfId="0" applyFont="1" applyFill="1" applyBorder="1" applyAlignment="1" applyProtection="1">
      <alignment horizontal="left"/>
      <protection locked="0"/>
    </xf>
    <xf numFmtId="0" fontId="48" fillId="0" borderId="0" xfId="0" applyFont="1" applyBorder="1" applyAlignment="1" applyProtection="1">
      <alignment horizontal="center" vertical="center" wrapText="1"/>
      <protection hidden="1"/>
    </xf>
    <xf numFmtId="0" fontId="40" fillId="0" borderId="1" xfId="0" applyFont="1" applyBorder="1" applyAlignment="1">
      <alignment horizontal="right" vertical="center"/>
    </xf>
    <xf numFmtId="0" fontId="44" fillId="0" borderId="1" xfId="0" applyFont="1" applyBorder="1" applyAlignment="1" applyProtection="1">
      <alignment horizontal="center"/>
      <protection hidden="1"/>
    </xf>
    <xf numFmtId="0" fontId="46" fillId="0" borderId="35" xfId="0" applyFont="1" applyBorder="1" applyAlignment="1" applyProtection="1">
      <alignment horizontal="center"/>
      <protection hidden="1"/>
    </xf>
    <xf numFmtId="0" fontId="46" fillId="0" borderId="48" xfId="0" applyFont="1" applyBorder="1" applyAlignment="1" applyProtection="1">
      <alignment horizontal="center"/>
      <protection hidden="1"/>
    </xf>
    <xf numFmtId="0" fontId="46" fillId="0" borderId="6" xfId="0" applyFont="1" applyBorder="1" applyAlignment="1" applyProtection="1">
      <alignment horizontal="center"/>
      <protection hidden="1"/>
    </xf>
    <xf numFmtId="0" fontId="40" fillId="0" borderId="35" xfId="0" applyFont="1" applyFill="1" applyBorder="1" applyAlignment="1">
      <alignment horizontal="right"/>
    </xf>
    <xf numFmtId="0" fontId="40" fillId="0" borderId="6" xfId="0" applyFont="1" applyFill="1" applyBorder="1" applyAlignment="1">
      <alignment horizontal="right"/>
    </xf>
    <xf numFmtId="0" fontId="47" fillId="0" borderId="0" xfId="0" applyFont="1" applyFill="1" applyBorder="1" applyAlignment="1" applyProtection="1">
      <alignment horizontal="center" wrapText="1"/>
      <protection hidden="1"/>
    </xf>
    <xf numFmtId="0" fontId="47" fillId="0" borderId="30" xfId="0" applyFont="1" applyFill="1" applyBorder="1" applyAlignment="1" applyProtection="1">
      <alignment horizontal="center" wrapText="1"/>
      <protection hidden="1"/>
    </xf>
    <xf numFmtId="0" fontId="46" fillId="0" borderId="1" xfId="0" applyFont="1" applyBorder="1" applyAlignment="1" applyProtection="1">
      <alignment horizontal="center"/>
      <protection hidden="1"/>
    </xf>
    <xf numFmtId="0" fontId="49" fillId="0" borderId="0" xfId="0" applyFont="1" applyBorder="1" applyAlignment="1" applyProtection="1">
      <alignment horizontal="center"/>
      <protection hidden="1"/>
    </xf>
    <xf numFmtId="0" fontId="46" fillId="0" borderId="34" xfId="0" applyFont="1" applyBorder="1" applyAlignment="1" applyProtection="1">
      <alignment horizontal="center"/>
      <protection hidden="1"/>
    </xf>
    <xf numFmtId="0" fontId="46" fillId="0" borderId="51" xfId="0" applyFont="1" applyBorder="1" applyAlignment="1" applyProtection="1">
      <alignment horizontal="center"/>
      <protection hidden="1"/>
    </xf>
    <xf numFmtId="0" fontId="46" fillId="0" borderId="57" xfId="0" applyFont="1" applyBorder="1" applyAlignment="1" applyProtection="1">
      <alignment horizontal="center"/>
      <protection hidden="1"/>
    </xf>
    <xf numFmtId="0" fontId="48" fillId="0" borderId="0" xfId="0" applyFont="1" applyBorder="1" applyAlignment="1">
      <alignment horizontal="center" vertical="center" wrapText="1"/>
    </xf>
    <xf numFmtId="0" fontId="48" fillId="0" borderId="56" xfId="0" applyFont="1" applyBorder="1" applyAlignment="1">
      <alignment horizontal="center" vertical="center" wrapText="1"/>
    </xf>
    <xf numFmtId="0" fontId="46" fillId="0" borderId="1" xfId="0" applyFont="1" applyBorder="1" applyAlignment="1" applyProtection="1">
      <alignment horizontal="right"/>
      <protection hidden="1"/>
    </xf>
    <xf numFmtId="0" fontId="45" fillId="0" borderId="3" xfId="0" applyFont="1" applyBorder="1" applyAlignment="1" applyProtection="1">
      <alignment horizontal="center"/>
      <protection hidden="1"/>
    </xf>
    <xf numFmtId="0" fontId="45" fillId="0" borderId="10" xfId="0" applyFont="1" applyBorder="1" applyAlignment="1" applyProtection="1">
      <alignment horizontal="center"/>
      <protection hidden="1"/>
    </xf>
    <xf numFmtId="0" fontId="45" fillId="0" borderId="9" xfId="0" applyFont="1" applyBorder="1" applyAlignment="1" applyProtection="1">
      <alignment horizontal="center"/>
      <protection hidden="1"/>
    </xf>
    <xf numFmtId="0" fontId="46" fillId="0" borderId="10" xfId="0" applyFont="1" applyBorder="1" applyAlignment="1" applyProtection="1">
      <alignment horizontal="center"/>
      <protection hidden="1"/>
    </xf>
    <xf numFmtId="0" fontId="46" fillId="0" borderId="9" xfId="0" applyFont="1" applyBorder="1" applyAlignment="1" applyProtection="1">
      <alignment horizontal="center"/>
      <protection hidden="1"/>
    </xf>
    <xf numFmtId="0" fontId="44" fillId="0" borderId="54" xfId="0" applyFont="1" applyBorder="1" applyAlignment="1" applyProtection="1">
      <alignment horizontal="right"/>
      <protection hidden="1"/>
    </xf>
    <xf numFmtId="0" fontId="44" fillId="0" borderId="56" xfId="0" applyFont="1" applyBorder="1" applyAlignment="1" applyProtection="1">
      <alignment horizontal="right"/>
      <protection hidden="1"/>
    </xf>
    <xf numFmtId="0" fontId="44" fillId="0" borderId="43" xfId="0" applyFont="1" applyBorder="1" applyAlignment="1" applyProtection="1">
      <alignment horizontal="right"/>
      <protection hidden="1"/>
    </xf>
    <xf numFmtId="0" fontId="44" fillId="0" borderId="35" xfId="0" applyFont="1" applyBorder="1" applyAlignment="1" applyProtection="1">
      <alignment horizontal="right"/>
      <protection hidden="1"/>
    </xf>
    <xf numFmtId="0" fontId="44" fillId="0" borderId="48" xfId="0" applyFont="1" applyBorder="1" applyAlignment="1" applyProtection="1">
      <alignment horizontal="right"/>
      <protection hidden="1"/>
    </xf>
    <xf numFmtId="0" fontId="44" fillId="0" borderId="6" xfId="0" applyFont="1" applyBorder="1" applyAlignment="1" applyProtection="1">
      <alignment horizontal="right"/>
      <protection hidden="1"/>
    </xf>
    <xf numFmtId="0" fontId="44" fillId="0" borderId="27" xfId="0" applyFont="1" applyFill="1" applyBorder="1" applyAlignment="1" applyProtection="1">
      <alignment horizontal="right" vertical="center"/>
      <protection hidden="1"/>
    </xf>
    <xf numFmtId="0" fontId="44" fillId="0" borderId="0" xfId="0" applyFont="1" applyFill="1" applyBorder="1" applyAlignment="1" applyProtection="1">
      <alignment horizontal="right" vertical="center"/>
      <protection hidden="1"/>
    </xf>
    <xf numFmtId="0" fontId="44" fillId="17" borderId="1" xfId="0" applyFont="1" applyFill="1" applyBorder="1" applyAlignment="1" applyProtection="1">
      <alignment horizontal="left"/>
      <protection hidden="1"/>
    </xf>
    <xf numFmtId="0" fontId="45" fillId="0" borderId="0" xfId="0" applyFont="1" applyAlignment="1">
      <alignment horizontal="center"/>
    </xf>
    <xf numFmtId="0" fontId="19" fillId="0" borderId="0" xfId="0" applyFont="1" applyAlignment="1">
      <alignment horizontal="center" wrapText="1"/>
    </xf>
    <xf numFmtId="0" fontId="45" fillId="0" borderId="45" xfId="0" applyFont="1" applyBorder="1" applyAlignment="1">
      <alignment horizontal="center" vertical="center"/>
    </xf>
    <xf numFmtId="0" fontId="45" fillId="0" borderId="49" xfId="0" applyFont="1" applyBorder="1" applyAlignment="1">
      <alignment horizontal="center" vertical="center"/>
    </xf>
    <xf numFmtId="0" fontId="45" fillId="0" borderId="46" xfId="0" applyFont="1" applyBorder="1" applyAlignment="1">
      <alignment horizontal="center" vertical="center"/>
    </xf>
    <xf numFmtId="0" fontId="65" fillId="0" borderId="45" xfId="0" applyFont="1" applyBorder="1" applyAlignment="1">
      <alignment horizontal="center" vertical="center" wrapText="1"/>
    </xf>
    <xf numFmtId="0" fontId="65" fillId="0" borderId="46" xfId="0" applyFont="1" applyBorder="1" applyAlignment="1">
      <alignment horizontal="center" vertical="center" wrapText="1"/>
    </xf>
    <xf numFmtId="0" fontId="44" fillId="2" borderId="35" xfId="0" applyFont="1" applyFill="1" applyBorder="1" applyAlignment="1" applyProtection="1">
      <alignment horizontal="center" vertical="center"/>
      <protection locked="0"/>
    </xf>
    <xf numFmtId="0" fontId="44" fillId="2" borderId="6" xfId="0" applyFont="1" applyFill="1" applyBorder="1" applyAlignment="1" applyProtection="1">
      <alignment horizontal="center" vertical="center"/>
      <protection locked="0"/>
    </xf>
    <xf numFmtId="0" fontId="40" fillId="11" borderId="35" xfId="0" applyFont="1" applyFill="1" applyBorder="1" applyAlignment="1" applyProtection="1">
      <alignment horizontal="center" vertical="center"/>
      <protection hidden="1"/>
    </xf>
    <xf numFmtId="0" fontId="40" fillId="11" borderId="48" xfId="0" applyFont="1" applyFill="1" applyBorder="1" applyAlignment="1" applyProtection="1">
      <alignment horizontal="center" vertical="center"/>
      <protection hidden="1"/>
    </xf>
    <xf numFmtId="0" fontId="45" fillId="5" borderId="3" xfId="0" applyFont="1" applyFill="1" applyBorder="1" applyAlignment="1" applyProtection="1">
      <alignment horizontal="center" vertical="center" wrapText="1"/>
      <protection hidden="1"/>
    </xf>
    <xf numFmtId="0" fontId="45" fillId="5" borderId="10" xfId="0" applyFont="1" applyFill="1" applyBorder="1" applyAlignment="1" applyProtection="1">
      <alignment horizontal="center" vertical="center" wrapText="1"/>
      <protection hidden="1"/>
    </xf>
    <xf numFmtId="0" fontId="45" fillId="5" borderId="9" xfId="0" applyFont="1" applyFill="1" applyBorder="1" applyAlignment="1" applyProtection="1">
      <alignment horizontal="center" vertical="center" wrapText="1"/>
      <protection hidden="1"/>
    </xf>
    <xf numFmtId="0" fontId="46" fillId="3" borderId="3" xfId="0" applyFont="1" applyFill="1" applyBorder="1" applyAlignment="1" applyProtection="1">
      <alignment horizontal="center" vertical="center"/>
      <protection hidden="1"/>
    </xf>
    <xf numFmtId="0" fontId="46" fillId="3" borderId="10" xfId="0" applyFont="1" applyFill="1" applyBorder="1" applyAlignment="1" applyProtection="1">
      <alignment horizontal="center" vertical="center"/>
      <protection hidden="1"/>
    </xf>
    <xf numFmtId="0" fontId="46" fillId="3" borderId="52" xfId="0" applyFont="1" applyFill="1" applyBorder="1" applyAlignment="1" applyProtection="1">
      <alignment horizontal="center" vertical="center"/>
      <protection hidden="1"/>
    </xf>
    <xf numFmtId="0" fontId="61" fillId="0" borderId="3" xfId="0" applyFont="1" applyFill="1" applyBorder="1" applyAlignment="1" applyProtection="1">
      <alignment horizontal="left" vertical="center" wrapText="1"/>
      <protection hidden="1"/>
    </xf>
    <xf numFmtId="0" fontId="61" fillId="0" borderId="10" xfId="0" applyFont="1" applyFill="1" applyBorder="1" applyAlignment="1" applyProtection="1">
      <alignment horizontal="left" vertical="center" wrapText="1"/>
      <protection hidden="1"/>
    </xf>
    <xf numFmtId="0" fontId="60" fillId="0" borderId="3" xfId="0" applyFont="1" applyFill="1" applyBorder="1" applyAlignment="1" applyProtection="1">
      <alignment horizontal="left" vertical="center" wrapText="1"/>
      <protection hidden="1"/>
    </xf>
    <xf numFmtId="0" fontId="60" fillId="0" borderId="10" xfId="0" applyFont="1" applyFill="1" applyBorder="1" applyAlignment="1" applyProtection="1">
      <alignment horizontal="left" vertical="center" wrapText="1"/>
      <protection hidden="1"/>
    </xf>
    <xf numFmtId="0" fontId="60" fillId="0" borderId="9" xfId="0" applyFont="1" applyFill="1" applyBorder="1" applyAlignment="1" applyProtection="1">
      <alignment horizontal="left" vertical="center" wrapText="1"/>
      <protection hidden="1"/>
    </xf>
    <xf numFmtId="0" fontId="19" fillId="0" borderId="0" xfId="0" quotePrefix="1" applyFont="1" applyAlignment="1">
      <alignment horizontal="left" wrapText="1"/>
    </xf>
    <xf numFmtId="0" fontId="32" fillId="0" borderId="34" xfId="0" applyFont="1" applyBorder="1" applyAlignment="1">
      <alignment horizontal="right" vertical="center"/>
    </xf>
    <xf numFmtId="0" fontId="32" fillId="0" borderId="51" xfId="0" applyFont="1" applyBorder="1" applyAlignment="1">
      <alignment horizontal="right" vertical="center"/>
    </xf>
    <xf numFmtId="0" fontId="32" fillId="0" borderId="50" xfId="0" applyFont="1" applyBorder="1" applyAlignment="1">
      <alignment horizontal="right" vertical="center" wrapText="1"/>
    </xf>
    <xf numFmtId="0" fontId="32" fillId="0" borderId="53" xfId="0" applyFont="1" applyBorder="1" applyAlignment="1">
      <alignment horizontal="right" vertical="center" wrapText="1"/>
    </xf>
    <xf numFmtId="0" fontId="19" fillId="0" borderId="0" xfId="0" applyFont="1" applyAlignment="1">
      <alignment horizontal="right" wrapText="1"/>
    </xf>
    <xf numFmtId="0" fontId="19" fillId="0" borderId="0" xfId="0" applyFont="1" applyAlignment="1">
      <alignment horizontal="left"/>
    </xf>
    <xf numFmtId="0" fontId="32" fillId="0" borderId="3" xfId="0" applyFont="1" applyBorder="1" applyAlignment="1">
      <alignment horizontal="right" vertical="center" wrapText="1"/>
    </xf>
    <xf numFmtId="0" fontId="32" fillId="0" borderId="52" xfId="0" applyFont="1" applyBorder="1" applyAlignment="1">
      <alignment horizontal="right" vertical="center" wrapText="1"/>
    </xf>
    <xf numFmtId="0" fontId="40" fillId="0" borderId="35" xfId="0" applyFont="1" applyBorder="1" applyAlignment="1">
      <alignment horizontal="right" vertical="center" wrapText="1"/>
    </xf>
    <xf numFmtId="0" fontId="40" fillId="0" borderId="48" xfId="0" applyFont="1" applyBorder="1" applyAlignment="1">
      <alignment horizontal="right" vertical="center" wrapText="1"/>
    </xf>
    <xf numFmtId="0" fontId="40" fillId="0" borderId="6" xfId="0" applyFont="1" applyBorder="1" applyAlignment="1">
      <alignment horizontal="right" vertical="center" wrapText="1"/>
    </xf>
    <xf numFmtId="0" fontId="47" fillId="0" borderId="0" xfId="0" applyFont="1" applyBorder="1" applyAlignment="1">
      <alignment horizontal="left" vertical="center" wrapText="1"/>
    </xf>
    <xf numFmtId="0" fontId="32" fillId="0" borderId="22" xfId="0" applyFont="1" applyBorder="1" applyAlignment="1">
      <alignment horizontal="right" vertical="center" wrapText="1"/>
    </xf>
    <xf numFmtId="0" fontId="48" fillId="0" borderId="0" xfId="0" applyFont="1" applyBorder="1" applyAlignment="1" applyProtection="1">
      <alignment horizontal="center" wrapText="1"/>
      <protection hidden="1"/>
    </xf>
    <xf numFmtId="0" fontId="40" fillId="0" borderId="30" xfId="0" applyFont="1" applyBorder="1" applyAlignment="1">
      <alignment horizontal="center" wrapText="1"/>
    </xf>
    <xf numFmtId="0" fontId="51" fillId="0" borderId="3" xfId="0" applyFont="1" applyBorder="1" applyAlignment="1">
      <alignment horizontal="center" vertical="center"/>
    </xf>
    <xf numFmtId="0" fontId="52" fillId="0" borderId="10"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44" fillId="2" borderId="1" xfId="0" applyFont="1" applyFill="1" applyBorder="1" applyAlignment="1" applyProtection="1">
      <alignment horizontal="center" vertical="center" wrapText="1"/>
      <protection locked="0"/>
    </xf>
    <xf numFmtId="0" fontId="40" fillId="0" borderId="1" xfId="0" applyFont="1" applyBorder="1" applyAlignment="1">
      <alignment horizontal="center" vertical="center" wrapText="1"/>
    </xf>
    <xf numFmtId="0" fontId="48" fillId="0" borderId="0" xfId="0" applyFont="1" applyBorder="1" applyAlignment="1" applyProtection="1">
      <alignment horizontal="left" wrapText="1"/>
      <protection hidden="1"/>
    </xf>
    <xf numFmtId="0" fontId="32" fillId="0" borderId="0" xfId="0" applyFont="1" applyAlignment="1">
      <alignment horizontal="right"/>
    </xf>
    <xf numFmtId="0" fontId="53" fillId="14" borderId="35" xfId="0" applyFont="1" applyFill="1" applyBorder="1" applyAlignment="1">
      <alignment horizontal="center"/>
    </xf>
    <xf numFmtId="0" fontId="53" fillId="14" borderId="48" xfId="0" applyFont="1" applyFill="1" applyBorder="1" applyAlignment="1">
      <alignment horizontal="center"/>
    </xf>
    <xf numFmtId="0" fontId="53" fillId="14" borderId="6" xfId="0" applyFont="1" applyFill="1" applyBorder="1" applyAlignment="1">
      <alignment horizontal="center"/>
    </xf>
    <xf numFmtId="0" fontId="32" fillId="0" borderId="0" xfId="0" applyFont="1" applyBorder="1" applyAlignment="1">
      <alignment horizontal="right"/>
    </xf>
    <xf numFmtId="0" fontId="53" fillId="14" borderId="35" xfId="0" applyFont="1" applyFill="1" applyBorder="1" applyAlignment="1">
      <alignment horizontal="left"/>
    </xf>
    <xf numFmtId="0" fontId="53" fillId="14" borderId="6" xfId="0" applyFont="1" applyFill="1" applyBorder="1" applyAlignment="1">
      <alignment horizontal="left"/>
    </xf>
    <xf numFmtId="0" fontId="54" fillId="0" borderId="0" xfId="0" applyFont="1" applyAlignment="1" applyProtection="1">
      <alignment horizontal="left" vertical="center" wrapText="1"/>
      <protection hidden="1"/>
    </xf>
    <xf numFmtId="0" fontId="55" fillId="0" borderId="27" xfId="0" applyFont="1" applyBorder="1" applyAlignment="1" applyProtection="1">
      <alignment horizontal="left" vertical="center" wrapText="1"/>
      <protection hidden="1"/>
    </xf>
    <xf numFmtId="0" fontId="55" fillId="0" borderId="0" xfId="0" applyFont="1" applyBorder="1" applyAlignment="1" applyProtection="1">
      <alignment horizontal="left" vertical="center" wrapText="1"/>
      <protection hidden="1"/>
    </xf>
    <xf numFmtId="0" fontId="78" fillId="0" borderId="0" xfId="0" applyFont="1" applyBorder="1" applyAlignment="1" applyProtection="1">
      <alignment horizontal="left" wrapText="1"/>
      <protection hidden="1"/>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66" fillId="0" borderId="0" xfId="0" applyFont="1" applyBorder="1" applyAlignment="1" applyProtection="1">
      <alignment horizontal="left" wrapText="1"/>
      <protection hidden="1"/>
    </xf>
    <xf numFmtId="0" fontId="55" fillId="0" borderId="0" xfId="0" applyFont="1" applyFill="1" applyBorder="1" applyAlignment="1" applyProtection="1">
      <alignment horizontal="left" vertical="center" wrapText="1"/>
      <protection hidden="1"/>
    </xf>
    <xf numFmtId="0" fontId="44" fillId="0" borderId="0" xfId="0" applyFont="1" applyFill="1" applyBorder="1" applyAlignment="1" applyProtection="1">
      <alignment horizontal="right" vertical="center" wrapText="1"/>
      <protection hidden="1"/>
    </xf>
    <xf numFmtId="0" fontId="57" fillId="0" borderId="0" xfId="0" applyFont="1" applyBorder="1" applyAlignment="1" applyProtection="1">
      <alignment horizontal="center" vertical="center" wrapText="1"/>
      <protection hidden="1"/>
    </xf>
    <xf numFmtId="0" fontId="57" fillId="0" borderId="28" xfId="0" applyFont="1" applyBorder="1" applyAlignment="1" applyProtection="1">
      <alignment horizontal="center" vertical="center" wrapText="1"/>
      <protection hidden="1"/>
    </xf>
    <xf numFmtId="0" fontId="40" fillId="3" borderId="3" xfId="0" applyFont="1" applyFill="1" applyBorder="1" applyAlignment="1" applyProtection="1">
      <alignment horizontal="center" vertical="center" wrapText="1"/>
      <protection hidden="1"/>
    </xf>
    <xf numFmtId="0" fontId="40" fillId="3" borderId="9" xfId="0" applyFont="1" applyFill="1" applyBorder="1" applyAlignment="1" applyProtection="1">
      <alignment horizontal="center" vertical="center" wrapText="1"/>
      <protection hidden="1"/>
    </xf>
    <xf numFmtId="0" fontId="40" fillId="3" borderId="3" xfId="0" applyFont="1" applyFill="1" applyBorder="1" applyAlignment="1">
      <alignment horizontal="center" vertical="center" wrapText="1"/>
    </xf>
    <xf numFmtId="0" fontId="40" fillId="3" borderId="9" xfId="0" applyFont="1" applyFill="1" applyBorder="1" applyAlignment="1">
      <alignment horizontal="center" vertical="center" wrapText="1"/>
    </xf>
    <xf numFmtId="0" fontId="58" fillId="0" borderId="0" xfId="0" applyFont="1" applyFill="1" applyBorder="1" applyAlignment="1" applyProtection="1">
      <alignment horizontal="left" vertical="center"/>
      <protection hidden="1"/>
    </xf>
    <xf numFmtId="0" fontId="40" fillId="5" borderId="3" xfId="0" applyFont="1" applyFill="1" applyBorder="1" applyAlignment="1" applyProtection="1">
      <alignment horizontal="center" vertical="center" wrapText="1"/>
      <protection hidden="1"/>
    </xf>
    <xf numFmtId="0" fontId="40" fillId="5" borderId="9" xfId="0" applyFont="1" applyFill="1" applyBorder="1" applyAlignment="1" applyProtection="1">
      <alignment horizontal="center" vertical="center" wrapText="1"/>
      <protection hidden="1"/>
    </xf>
    <xf numFmtId="0" fontId="40" fillId="5" borderId="3"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6" fillId="8" borderId="3" xfId="0" applyFont="1" applyFill="1" applyBorder="1" applyAlignment="1" applyProtection="1">
      <alignment horizontal="center" vertical="center"/>
      <protection hidden="1"/>
    </xf>
    <xf numFmtId="0" fontId="46" fillId="8" borderId="10" xfId="0" applyFont="1" applyFill="1" applyBorder="1" applyAlignment="1" applyProtection="1">
      <alignment horizontal="center" vertical="center"/>
      <protection hidden="1"/>
    </xf>
    <xf numFmtId="0" fontId="46" fillId="8" borderId="52" xfId="0" applyFont="1" applyFill="1" applyBorder="1" applyAlignment="1" applyProtection="1">
      <alignment horizontal="center" vertical="center"/>
      <protection hidden="1"/>
    </xf>
    <xf numFmtId="0" fontId="46" fillId="12" borderId="3" xfId="0" applyFont="1" applyFill="1" applyBorder="1" applyAlignment="1">
      <alignment horizontal="center" vertical="center"/>
    </xf>
    <xf numFmtId="0" fontId="46" fillId="12" borderId="10" xfId="0" applyFont="1" applyFill="1" applyBorder="1" applyAlignment="1">
      <alignment horizontal="center" vertical="center"/>
    </xf>
    <xf numFmtId="0" fontId="46" fillId="12" borderId="52" xfId="0" applyFont="1" applyFill="1" applyBorder="1" applyAlignment="1">
      <alignment horizontal="center" vertical="center"/>
    </xf>
    <xf numFmtId="0" fontId="45" fillId="3" borderId="3" xfId="0" applyFont="1" applyFill="1" applyBorder="1" applyAlignment="1" applyProtection="1">
      <alignment horizontal="center" vertical="center" wrapText="1"/>
      <protection hidden="1"/>
    </xf>
    <xf numFmtId="0" fontId="45" fillId="3" borderId="10" xfId="0" applyFont="1" applyFill="1" applyBorder="1" applyAlignment="1" applyProtection="1">
      <alignment horizontal="center" vertical="center" wrapText="1"/>
      <protection hidden="1"/>
    </xf>
    <xf numFmtId="0" fontId="45" fillId="3" borderId="9" xfId="0" applyFont="1" applyFill="1" applyBorder="1" applyAlignment="1" applyProtection="1">
      <alignment horizontal="center" vertical="center" wrapText="1"/>
      <protection hidden="1"/>
    </xf>
    <xf numFmtId="0" fontId="79" fillId="0" borderId="3" xfId="0" applyFont="1" applyBorder="1" applyAlignment="1">
      <alignment horizontal="right" vertical="center"/>
    </xf>
    <xf numFmtId="0" fontId="79" fillId="0" borderId="10" xfId="0" applyFont="1" applyBorder="1" applyAlignment="1">
      <alignment horizontal="right" vertical="center"/>
    </xf>
    <xf numFmtId="0" fontId="79" fillId="0" borderId="52" xfId="0" applyFont="1" applyBorder="1" applyAlignment="1">
      <alignment horizontal="right" vertical="center"/>
    </xf>
    <xf numFmtId="0" fontId="45" fillId="0" borderId="3"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65" fillId="0" borderId="27" xfId="0" applyFont="1" applyBorder="1" applyAlignment="1">
      <alignment horizontal="left" vertical="center" wrapText="1"/>
    </xf>
    <xf numFmtId="0" fontId="65" fillId="0" borderId="0" xfId="0" applyFont="1" applyBorder="1" applyAlignment="1">
      <alignment horizontal="left" vertical="center" wrapText="1"/>
    </xf>
    <xf numFmtId="0" fontId="65" fillId="0" borderId="0" xfId="0" applyFont="1" applyBorder="1" applyAlignment="1">
      <alignment vertical="center"/>
    </xf>
    <xf numFmtId="0" fontId="45" fillId="5" borderId="33" xfId="0" applyFont="1" applyFill="1" applyBorder="1" applyAlignment="1" applyProtection="1">
      <alignment horizontal="center" vertical="center" wrapText="1"/>
      <protection hidden="1"/>
    </xf>
    <xf numFmtId="0" fontId="45" fillId="5" borderId="22" xfId="0" applyFont="1" applyFill="1" applyBorder="1" applyAlignment="1" applyProtection="1">
      <alignment horizontal="center" vertical="center" wrapText="1"/>
      <protection hidden="1"/>
    </xf>
    <xf numFmtId="0" fontId="45" fillId="5" borderId="23" xfId="0" applyFont="1" applyFill="1" applyBorder="1" applyAlignment="1" applyProtection="1">
      <alignment horizontal="center" vertical="center" wrapText="1"/>
      <protection hidden="1"/>
    </xf>
    <xf numFmtId="0" fontId="45" fillId="5" borderId="52"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79" fillId="3" borderId="3" xfId="0" applyFont="1" applyFill="1" applyBorder="1" applyAlignment="1" applyProtection="1">
      <alignment horizontal="right"/>
      <protection hidden="1"/>
    </xf>
    <xf numFmtId="0" fontId="79" fillId="3" borderId="10" xfId="0" applyFont="1" applyFill="1" applyBorder="1" applyAlignment="1" applyProtection="1">
      <alignment horizontal="right"/>
      <protection hidden="1"/>
    </xf>
    <xf numFmtId="0" fontId="79" fillId="3" borderId="52" xfId="0" applyFont="1" applyFill="1" applyBorder="1" applyAlignment="1" applyProtection="1">
      <alignment horizontal="right"/>
      <protection hidden="1"/>
    </xf>
    <xf numFmtId="0" fontId="79" fillId="8" borderId="3" xfId="0" applyFont="1" applyFill="1" applyBorder="1" applyAlignment="1" applyProtection="1">
      <alignment horizontal="right"/>
      <protection hidden="1"/>
    </xf>
    <xf numFmtId="0" fontId="79" fillId="8" borderId="10" xfId="0" applyFont="1" applyFill="1" applyBorder="1" applyAlignment="1" applyProtection="1">
      <alignment horizontal="right"/>
      <protection hidden="1"/>
    </xf>
    <xf numFmtId="0" fontId="79" fillId="8" borderId="52" xfId="0" applyFont="1" applyFill="1" applyBorder="1" applyAlignment="1" applyProtection="1">
      <alignment horizontal="right"/>
      <protection hidden="1"/>
    </xf>
    <xf numFmtId="0" fontId="21" fillId="0" borderId="45" xfId="0" applyFont="1" applyBorder="1" applyAlignment="1">
      <alignment horizontal="center"/>
    </xf>
    <xf numFmtId="0" fontId="21" fillId="0" borderId="49" xfId="0" applyFont="1" applyBorder="1" applyAlignment="1">
      <alignment horizontal="center"/>
    </xf>
    <xf numFmtId="0" fontId="21" fillId="0" borderId="46" xfId="0" applyFont="1" applyBorder="1" applyAlignment="1">
      <alignment horizontal="center"/>
    </xf>
    <xf numFmtId="0" fontId="29" fillId="0" borderId="0" xfId="0" applyFont="1" applyFill="1" applyBorder="1" applyAlignment="1" applyProtection="1">
      <alignment horizontal="right"/>
      <protection hidden="1"/>
    </xf>
    <xf numFmtId="0" fontId="60" fillId="0" borderId="0" xfId="0" applyFont="1" applyFill="1" applyBorder="1" applyAlignment="1" applyProtection="1">
      <alignment horizontal="center" vertical="center"/>
      <protection hidden="1"/>
    </xf>
    <xf numFmtId="0" fontId="39" fillId="0" borderId="3" xfId="0" applyFont="1" applyBorder="1" applyAlignment="1">
      <alignment horizontal="center"/>
    </xf>
    <xf numFmtId="0" fontId="39" fillId="0" borderId="10" xfId="0" applyFont="1" applyBorder="1" applyAlignment="1">
      <alignment horizontal="center"/>
    </xf>
    <xf numFmtId="0" fontId="39" fillId="0" borderId="9" xfId="0" applyFont="1" applyBorder="1" applyAlignment="1">
      <alignment horizontal="center"/>
    </xf>
    <xf numFmtId="0" fontId="65" fillId="14" borderId="35" xfId="0" applyFont="1" applyFill="1" applyBorder="1" applyAlignment="1">
      <alignment horizontal="left"/>
    </xf>
    <xf numFmtId="0" fontId="65" fillId="14" borderId="6" xfId="0" applyFont="1" applyFill="1" applyBorder="1" applyAlignment="1">
      <alignment horizontal="left"/>
    </xf>
    <xf numFmtId="0" fontId="65" fillId="0" borderId="27" xfId="0" applyFont="1" applyBorder="1" applyAlignment="1">
      <alignment horizontal="right"/>
    </xf>
    <xf numFmtId="0" fontId="65" fillId="0" borderId="0" xfId="0" applyFont="1" applyAlignment="1">
      <alignment horizontal="right"/>
    </xf>
    <xf numFmtId="0" fontId="21" fillId="0" borderId="41"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45" fillId="3" borderId="3"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65" fillId="14" borderId="35" xfId="0" applyFont="1" applyFill="1" applyBorder="1" applyAlignment="1">
      <alignment horizontal="center"/>
    </xf>
    <xf numFmtId="0" fontId="65" fillId="14" borderId="48" xfId="0" applyFont="1" applyFill="1" applyBorder="1" applyAlignment="1">
      <alignment horizontal="center"/>
    </xf>
    <xf numFmtId="0" fontId="65" fillId="14" borderId="6" xfId="0" applyFont="1" applyFill="1" applyBorder="1" applyAlignment="1">
      <alignment horizontal="center"/>
    </xf>
    <xf numFmtId="0" fontId="65" fillId="0" borderId="0" xfId="0" applyFont="1" applyBorder="1" applyAlignment="1">
      <alignment horizontal="right"/>
    </xf>
    <xf numFmtId="0" fontId="63" fillId="0" borderId="0" xfId="0" applyFont="1" applyAlignment="1">
      <alignment horizontal="center" vertical="center"/>
    </xf>
    <xf numFmtId="0" fontId="18" fillId="0" borderId="0" xfId="0" applyFont="1" applyAlignment="1">
      <alignment horizontal="center" vertical="center"/>
    </xf>
    <xf numFmtId="0" fontId="40" fillId="0" borderId="34" xfId="0" applyFont="1" applyBorder="1" applyAlignment="1">
      <alignment horizontal="left" vertical="center" wrapText="1"/>
    </xf>
    <xf numFmtId="0" fontId="40" fillId="0" borderId="57" xfId="0" applyFont="1" applyBorder="1" applyAlignment="1">
      <alignment horizontal="left" vertical="center" wrapText="1"/>
    </xf>
    <xf numFmtId="0" fontId="40" fillId="0" borderId="4" xfId="0" applyFont="1" applyBorder="1" applyAlignment="1">
      <alignment horizontal="left" vertical="center" wrapText="1"/>
    </xf>
    <xf numFmtId="0" fontId="65" fillId="14" borderId="3" xfId="0" applyFont="1" applyFill="1" applyBorder="1" applyAlignment="1" applyProtection="1">
      <alignment horizontal="left"/>
      <protection hidden="1"/>
    </xf>
    <xf numFmtId="0" fontId="65" fillId="14" borderId="10" xfId="0" applyFont="1" applyFill="1" applyBorder="1" applyAlignment="1" applyProtection="1">
      <alignment horizontal="left"/>
      <protection hidden="1"/>
    </xf>
    <xf numFmtId="0" fontId="65" fillId="14" borderId="9" xfId="0" applyFont="1" applyFill="1" applyBorder="1" applyAlignment="1" applyProtection="1">
      <alignment horizontal="left"/>
      <protection hidden="1"/>
    </xf>
    <xf numFmtId="0" fontId="57" fillId="0" borderId="0" xfId="0" applyFont="1" applyFill="1" applyAlignment="1" applyProtection="1">
      <alignment horizontal="left" vertical="center" wrapText="1"/>
      <protection hidden="1"/>
    </xf>
    <xf numFmtId="0" fontId="40" fillId="0" borderId="1" xfId="0" applyFont="1" applyBorder="1" applyAlignment="1">
      <alignment horizontal="right" vertical="center" wrapText="1"/>
    </xf>
    <xf numFmtId="164" fontId="40" fillId="14" borderId="66" xfId="0" applyNumberFormat="1" applyFont="1" applyFill="1" applyBorder="1" applyAlignment="1" applyProtection="1">
      <alignment horizontal="center" vertical="center"/>
      <protection hidden="1"/>
    </xf>
    <xf numFmtId="164" fontId="40" fillId="14" borderId="67" xfId="0" applyNumberFormat="1" applyFont="1" applyFill="1" applyBorder="1" applyAlignment="1" applyProtection="1">
      <alignment horizontal="center" vertical="center"/>
      <protection hidden="1"/>
    </xf>
    <xf numFmtId="0" fontId="40" fillId="0" borderId="3" xfId="0" applyFont="1" applyFill="1" applyBorder="1" applyAlignment="1">
      <alignment horizontal="center"/>
    </xf>
    <xf numFmtId="0" fontId="40" fillId="0" borderId="52" xfId="0" applyFont="1" applyFill="1" applyBorder="1" applyAlignment="1">
      <alignment horizontal="center"/>
    </xf>
    <xf numFmtId="0" fontId="40" fillId="14" borderId="24" xfId="0" applyFont="1" applyFill="1" applyBorder="1" applyAlignment="1">
      <alignment horizontal="center" vertical="center" wrapText="1"/>
    </xf>
    <xf numFmtId="0" fontId="40" fillId="14" borderId="25" xfId="0" applyFont="1" applyFill="1" applyBorder="1" applyAlignment="1">
      <alignment horizontal="center" vertical="center" wrapText="1"/>
    </xf>
    <xf numFmtId="0" fontId="40" fillId="14" borderId="27" xfId="0" applyFont="1" applyFill="1" applyBorder="1" applyAlignment="1">
      <alignment horizontal="center" vertical="center" wrapText="1"/>
    </xf>
    <xf numFmtId="0" fontId="40" fillId="14" borderId="0" xfId="0" applyFont="1" applyFill="1" applyBorder="1" applyAlignment="1">
      <alignment horizontal="center" vertical="center" wrapText="1"/>
    </xf>
    <xf numFmtId="0" fontId="40" fillId="0" borderId="3" xfId="0" applyFont="1" applyBorder="1" applyAlignment="1">
      <alignment horizontal="center" vertical="center"/>
    </xf>
    <xf numFmtId="0" fontId="40" fillId="0" borderId="9" xfId="0" applyFont="1" applyBorder="1" applyAlignment="1">
      <alignment horizontal="center" vertical="center"/>
    </xf>
    <xf numFmtId="0" fontId="40" fillId="14" borderId="45" xfId="0" applyFont="1" applyFill="1" applyBorder="1" applyAlignment="1" applyProtection="1">
      <alignment horizontal="center" vertical="center"/>
      <protection hidden="1"/>
    </xf>
    <xf numFmtId="0" fontId="40" fillId="14" borderId="46" xfId="0" applyFont="1" applyFill="1" applyBorder="1" applyAlignment="1" applyProtection="1">
      <alignment horizontal="center" vertical="center"/>
      <protection hidden="1"/>
    </xf>
    <xf numFmtId="0" fontId="40" fillId="14" borderId="7" xfId="0" applyFont="1" applyFill="1" applyBorder="1" applyAlignment="1" applyProtection="1">
      <alignment horizontal="center" vertical="center"/>
      <protection hidden="1"/>
    </xf>
    <xf numFmtId="0" fontId="40" fillId="14" borderId="55" xfId="0" applyFont="1" applyFill="1" applyBorder="1" applyAlignment="1" applyProtection="1">
      <alignment horizontal="center" vertical="center"/>
      <protection hidden="1"/>
    </xf>
    <xf numFmtId="0" fontId="70" fillId="0" borderId="0" xfId="0" applyFont="1" applyAlignment="1">
      <alignment horizontal="left"/>
    </xf>
    <xf numFmtId="0" fontId="40" fillId="0" borderId="2" xfId="0" applyFont="1" applyBorder="1" applyAlignment="1">
      <alignment horizontal="left" vertical="center" wrapText="1"/>
    </xf>
    <xf numFmtId="0" fontId="40" fillId="0" borderId="0" xfId="0" applyFont="1" applyBorder="1" applyAlignment="1">
      <alignment horizontal="left" vertical="center" wrapText="1"/>
    </xf>
    <xf numFmtId="0" fontId="71" fillId="0" borderId="0" xfId="0" applyFont="1" applyAlignment="1">
      <alignment horizontal="center" wrapText="1"/>
    </xf>
    <xf numFmtId="0" fontId="40" fillId="0" borderId="24"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0" xfId="0" applyFont="1" applyBorder="1" applyAlignment="1">
      <alignment horizontal="center" vertical="center" wrapText="1"/>
    </xf>
    <xf numFmtId="0" fontId="45" fillId="17" borderId="41" xfId="0" applyFont="1" applyFill="1" applyBorder="1" applyAlignment="1">
      <alignment horizontal="center" vertical="center"/>
    </xf>
    <xf numFmtId="0" fontId="45" fillId="17" borderId="18" xfId="0" applyFont="1" applyFill="1" applyBorder="1" applyAlignment="1">
      <alignment horizontal="center" vertical="center"/>
    </xf>
    <xf numFmtId="0" fontId="45" fillId="17" borderId="19" xfId="0" applyFont="1" applyFill="1" applyBorder="1" applyAlignment="1">
      <alignment horizontal="center" vertical="center"/>
    </xf>
    <xf numFmtId="0" fontId="41" fillId="17" borderId="16" xfId="0" applyFont="1" applyFill="1" applyBorder="1" applyAlignment="1">
      <alignment vertical="center" wrapText="1"/>
    </xf>
    <xf numFmtId="0" fontId="72" fillId="17" borderId="1" xfId="0" applyFont="1" applyFill="1" applyBorder="1" applyAlignment="1">
      <alignment vertical="center" wrapText="1"/>
    </xf>
    <xf numFmtId="0" fontId="72" fillId="17" borderId="15" xfId="0" applyFont="1" applyFill="1" applyBorder="1" applyAlignment="1">
      <alignment vertical="center" wrapText="1"/>
    </xf>
    <xf numFmtId="0" fontId="73" fillId="17" borderId="35" xfId="0" applyFont="1" applyFill="1" applyBorder="1" applyAlignment="1" applyProtection="1">
      <alignment horizontal="left" vertical="center"/>
      <protection hidden="1"/>
    </xf>
    <xf numFmtId="0" fontId="73" fillId="17" borderId="48" xfId="0" applyFont="1" applyFill="1" applyBorder="1" applyAlignment="1" applyProtection="1">
      <alignment horizontal="left" vertical="center"/>
      <protection hidden="1"/>
    </xf>
    <xf numFmtId="0" fontId="73" fillId="17" borderId="47" xfId="0" applyFont="1" applyFill="1" applyBorder="1" applyAlignment="1" applyProtection="1">
      <alignment horizontal="left" vertical="center"/>
      <protection hidden="1"/>
    </xf>
    <xf numFmtId="0" fontId="73" fillId="17" borderId="12" xfId="0" applyFont="1" applyFill="1" applyBorder="1" applyAlignment="1" applyProtection="1">
      <alignment horizontal="left" vertical="center"/>
      <protection hidden="1"/>
    </xf>
    <xf numFmtId="0" fontId="73" fillId="17" borderId="14" xfId="0" applyFont="1" applyFill="1" applyBorder="1" applyAlignment="1" applyProtection="1">
      <alignment horizontal="left" vertical="center"/>
      <protection hidden="1"/>
    </xf>
    <xf numFmtId="0" fontId="41" fillId="17" borderId="5" xfId="0" applyFont="1" applyFill="1" applyBorder="1" applyAlignment="1" applyProtection="1">
      <alignment horizontal="left" vertical="center"/>
      <protection hidden="1"/>
    </xf>
    <xf numFmtId="0" fontId="41" fillId="17" borderId="48" xfId="0" applyFont="1" applyFill="1" applyBorder="1" applyAlignment="1" applyProtection="1">
      <alignment horizontal="left" vertical="center"/>
      <protection hidden="1"/>
    </xf>
    <xf numFmtId="0" fontId="41" fillId="17" borderId="47" xfId="0" applyFont="1" applyFill="1" applyBorder="1" applyAlignment="1" applyProtection="1">
      <alignment horizontal="left" vertical="center"/>
      <protection hidden="1"/>
    </xf>
    <xf numFmtId="0" fontId="41" fillId="17" borderId="1" xfId="0" applyFont="1" applyFill="1" applyBorder="1" applyAlignment="1">
      <alignment horizontal="center" vertical="center"/>
    </xf>
    <xf numFmtId="0" fontId="41" fillId="17" borderId="15" xfId="0" applyFont="1" applyFill="1" applyBorder="1" applyAlignment="1">
      <alignment horizontal="center" vertical="center"/>
    </xf>
    <xf numFmtId="0" fontId="73" fillId="17" borderId="1" xfId="0" applyFont="1" applyFill="1" applyBorder="1" applyAlignment="1" applyProtection="1">
      <alignment horizontal="left" vertical="center"/>
      <protection hidden="1"/>
    </xf>
    <xf numFmtId="0" fontId="73" fillId="17" borderId="15" xfId="0" applyFont="1" applyFill="1" applyBorder="1" applyAlignment="1" applyProtection="1">
      <alignment horizontal="left" vertical="center"/>
      <protection hidden="1"/>
    </xf>
    <xf numFmtId="0" fontId="0" fillId="0" borderId="30" xfId="0" applyBorder="1" applyAlignment="1" applyProtection="1">
      <alignment horizontal="center" wrapText="1"/>
      <protection hidden="1"/>
    </xf>
    <xf numFmtId="0" fontId="40" fillId="0" borderId="35" xfId="0" applyFont="1" applyBorder="1" applyAlignment="1">
      <alignment horizontal="left" vertical="center" wrapText="1"/>
    </xf>
    <xf numFmtId="0" fontId="40" fillId="0" borderId="48" xfId="0" applyFont="1" applyBorder="1" applyAlignment="1">
      <alignment horizontal="left" vertical="center" wrapText="1"/>
    </xf>
    <xf numFmtId="0" fontId="40" fillId="0" borderId="6" xfId="0" applyFont="1" applyBorder="1" applyAlignment="1">
      <alignment horizontal="left" vertical="center" wrapText="1"/>
    </xf>
    <xf numFmtId="0" fontId="40" fillId="0" borderId="35" xfId="0" applyFont="1" applyFill="1" applyBorder="1" applyAlignment="1">
      <alignment horizontal="left" vertical="center" wrapText="1"/>
    </xf>
    <xf numFmtId="0" fontId="40" fillId="0" borderId="48"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10"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76" fillId="16" borderId="3" xfId="0" applyFont="1" applyFill="1" applyBorder="1" applyAlignment="1">
      <alignment horizontal="left" vertical="center" wrapText="1"/>
    </xf>
    <xf numFmtId="0" fontId="76" fillId="16" borderId="10" xfId="0" applyFont="1" applyFill="1" applyBorder="1" applyAlignment="1">
      <alignment horizontal="left" vertical="center" wrapText="1"/>
    </xf>
    <xf numFmtId="0" fontId="76" fillId="16" borderId="9" xfId="0" applyFont="1" applyFill="1" applyBorder="1" applyAlignment="1">
      <alignment horizontal="left" vertical="center" wrapText="1"/>
    </xf>
    <xf numFmtId="0" fontId="32" fillId="0" borderId="40" xfId="0" applyFont="1" applyBorder="1" applyAlignment="1">
      <alignment horizontal="right"/>
    </xf>
    <xf numFmtId="0" fontId="75" fillId="0" borderId="2" xfId="0" applyFont="1" applyBorder="1" applyAlignment="1">
      <alignment horizontal="center" vertical="center"/>
    </xf>
    <xf numFmtId="0" fontId="75" fillId="0" borderId="0" xfId="0" applyFont="1" applyAlignment="1">
      <alignment horizontal="center" vertical="center"/>
    </xf>
    <xf numFmtId="0" fontId="75" fillId="0" borderId="0" xfId="0" applyFont="1" applyBorder="1" applyAlignment="1">
      <alignment horizontal="center" vertical="center"/>
    </xf>
    <xf numFmtId="0" fontId="47" fillId="0" borderId="2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28" xfId="0" applyFont="1" applyFill="1" applyBorder="1" applyAlignment="1">
      <alignment horizontal="left" vertical="center" wrapText="1"/>
    </xf>
    <xf numFmtId="0" fontId="34" fillId="0" borderId="65" xfId="0" applyFont="1" applyFill="1" applyBorder="1" applyAlignment="1">
      <alignment horizontal="left" vertical="center" wrapText="1"/>
    </xf>
    <xf numFmtId="0" fontId="27" fillId="20" borderId="62" xfId="0" applyFont="1" applyFill="1" applyBorder="1" applyAlignment="1">
      <alignment horizontal="center" vertical="center"/>
    </xf>
    <xf numFmtId="0" fontId="27" fillId="20" borderId="64" xfId="0" applyFont="1" applyFill="1" applyBorder="1" applyAlignment="1">
      <alignment horizontal="center" vertical="center"/>
    </xf>
    <xf numFmtId="0" fontId="44" fillId="0" borderId="2" xfId="0" applyFont="1" applyBorder="1" applyAlignment="1">
      <alignment horizontal="right"/>
    </xf>
    <xf numFmtId="0" fontId="44" fillId="0" borderId="40" xfId="0" applyFont="1" applyBorder="1" applyAlignment="1">
      <alignment horizontal="right"/>
    </xf>
    <xf numFmtId="0" fontId="57" fillId="0" borderId="2" xfId="0" applyFont="1" applyBorder="1" applyAlignment="1" applyProtection="1">
      <alignment horizontal="left" vertical="center" wrapText="1"/>
      <protection hidden="1"/>
    </xf>
    <xf numFmtId="0" fontId="57" fillId="0" borderId="0" xfId="0" applyFont="1" applyAlignment="1" applyProtection="1">
      <alignment horizontal="left" vertical="center" wrapText="1"/>
      <protection hidden="1"/>
    </xf>
    <xf numFmtId="0" fontId="39" fillId="0" borderId="0" xfId="0" applyFont="1" applyAlignment="1">
      <alignment horizontal="center" vertical="center"/>
    </xf>
    <xf numFmtId="0" fontId="52" fillId="0" borderId="3" xfId="0" applyFont="1" applyBorder="1" applyAlignment="1">
      <alignment horizontal="center"/>
    </xf>
    <xf numFmtId="0" fontId="52" fillId="0" borderId="9" xfId="0" applyFont="1" applyBorder="1" applyAlignment="1">
      <alignment horizontal="center"/>
    </xf>
    <xf numFmtId="0" fontId="65" fillId="14" borderId="3" xfId="0" applyFont="1" applyFill="1" applyBorder="1" applyAlignment="1">
      <alignment horizontal="left"/>
    </xf>
    <xf numFmtId="0" fontId="65" fillId="14" borderId="10" xfId="0" applyFont="1" applyFill="1" applyBorder="1" applyAlignment="1">
      <alignment horizontal="left"/>
    </xf>
    <xf numFmtId="0" fontId="65" fillId="14" borderId="9" xfId="0" applyFont="1" applyFill="1" applyBorder="1" applyAlignment="1">
      <alignment horizontal="left"/>
    </xf>
    <xf numFmtId="0" fontId="35" fillId="0" borderId="2" xfId="0" applyFont="1" applyFill="1" applyBorder="1" applyAlignment="1">
      <alignment horizontal="center" wrapText="1"/>
    </xf>
    <xf numFmtId="0" fontId="35" fillId="0" borderId="0" xfId="0" applyFont="1" applyFill="1" applyBorder="1" applyAlignment="1">
      <alignment horizontal="center" wrapText="1"/>
    </xf>
    <xf numFmtId="0" fontId="45" fillId="17" borderId="1" xfId="0" applyFont="1" applyFill="1" applyBorder="1" applyAlignment="1" applyProtection="1">
      <alignment horizontal="center"/>
      <protection locked="0"/>
    </xf>
    <xf numFmtId="0" fontId="45" fillId="17" borderId="1" xfId="0" applyFont="1" applyFill="1" applyBorder="1" applyAlignment="1">
      <alignment horizontal="left" vertical="center"/>
    </xf>
    <xf numFmtId="0" fontId="54" fillId="0" borderId="0" xfId="0" applyFont="1" applyFill="1" applyBorder="1" applyAlignment="1">
      <alignment horizontal="left" vertical="center" wrapText="1"/>
    </xf>
    <xf numFmtId="0" fontId="46" fillId="0" borderId="35" xfId="0" applyFont="1" applyBorder="1" applyAlignment="1">
      <alignment horizontal="center"/>
    </xf>
    <xf numFmtId="0" fontId="46" fillId="0" borderId="48" xfId="0" applyFont="1" applyBorder="1" applyAlignment="1">
      <alignment horizontal="center"/>
    </xf>
    <xf numFmtId="0" fontId="46" fillId="0" borderId="6" xfId="0" applyFont="1" applyBorder="1" applyAlignment="1">
      <alignment horizontal="center"/>
    </xf>
    <xf numFmtId="0" fontId="43" fillId="0" borderId="0" xfId="0" applyFont="1" applyAlignment="1">
      <alignment horizontal="center" vertical="center" wrapText="1"/>
    </xf>
  </cellXfs>
  <cellStyles count="3">
    <cellStyle name="Hyperlink" xfId="1" builtinId="8"/>
    <cellStyle name="Normal" xfId="0" builtinId="0"/>
    <cellStyle name="Percent" xfId="2" builtinId="5"/>
  </cellStyles>
  <dxfs count="14">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rgb="FFFFFFFF"/>
      </font>
      <fill>
        <patternFill>
          <bgColor rgb="FFFF000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CCFFCC"/>
      <color rgb="FF99FF99"/>
      <color rgb="FF170A74"/>
      <color rgb="FF369DDC"/>
      <color rgb="FF01FF74"/>
      <color rgb="FF3F7FFF"/>
      <color rgb="FF00487E"/>
      <color rgb="FF005EA4"/>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%THDi</a:t>
            </a:r>
            <a:r>
              <a:rPr lang="en-US" baseline="0"/>
              <a:t> </a:t>
            </a:r>
            <a:r>
              <a:rPr lang="en-US"/>
              <a:t>for PWM VFD</a:t>
            </a:r>
          </a:p>
        </c:rich>
      </c:tx>
      <c:layout>
        <c:manualLayout>
          <c:xMode val="edge"/>
          <c:yMode val="edge"/>
          <c:x val="0.38668584982118032"/>
          <c:y val="2.8776978417266414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1756382068584889"/>
          <c:y val="0.116906577487932"/>
          <c:w val="0.80878242905565856"/>
          <c:h val="0.80215897784026657"/>
        </c:manualLayout>
      </c:layout>
      <c:line3DChart>
        <c:grouping val="standard"/>
        <c:varyColors val="0"/>
        <c:ser>
          <c:idx val="0"/>
          <c:order val="0"/>
          <c:tx>
            <c:strRef>
              <c:f>'Typical  THDi levels '!$F$7</c:f>
              <c:strCache>
                <c:ptCount val="1"/>
                <c:pt idx="0">
                  <c:v>20</c:v>
                </c:pt>
              </c:strCache>
            </c:strRef>
          </c:tx>
          <c:spPr>
            <a:solidFill>
              <a:srgbClr val="9999FF"/>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'!$F$8:$F$16</c:f>
              <c:numCache>
                <c:formatCode>0.00%</c:formatCode>
                <c:ptCount val="9"/>
                <c:pt idx="0">
                  <c:v>0.26439999999999997</c:v>
                </c:pt>
                <c:pt idx="1">
                  <c:v>0.21833333333333335</c:v>
                </c:pt>
                <c:pt idx="2">
                  <c:v>0.20494999999999999</c:v>
                </c:pt>
                <c:pt idx="3">
                  <c:v>0.17821999999999999</c:v>
                </c:pt>
                <c:pt idx="4">
                  <c:v>0.16816666666666669</c:v>
                </c:pt>
                <c:pt idx="5">
                  <c:v>0.15076666666666666</c:v>
                </c:pt>
                <c:pt idx="6">
                  <c:v>0.1358</c:v>
                </c:pt>
                <c:pt idx="7">
                  <c:v>0.13004999999999997</c:v>
                </c:pt>
                <c:pt idx="8">
                  <c:v>0.11593333333333333</c:v>
                </c:pt>
              </c:numCache>
            </c:numRef>
          </c:val>
          <c:smooth val="0"/>
          <c:extLst>
            <c:ext xmlns:c16="http://schemas.microsoft.com/office/drawing/2014/chart" uri="{C3380CC4-5D6E-409C-BE32-E72D297353CC}">
              <c16:uniqueId val="{00000000-35BA-4FC3-A79A-E2087DFECD3E}"/>
            </c:ext>
          </c:extLst>
        </c:ser>
        <c:ser>
          <c:idx val="1"/>
          <c:order val="1"/>
          <c:tx>
            <c:strRef>
              <c:f>'Typical  THDi levels '!$G$7</c:f>
              <c:strCache>
                <c:ptCount val="1"/>
                <c:pt idx="0">
                  <c:v>50</c:v>
                </c:pt>
              </c:strCache>
            </c:strRef>
          </c:tx>
          <c:spPr>
            <a:solidFill>
              <a:srgbClr val="993366"/>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'!$G$8:$G$16</c:f>
              <c:numCache>
                <c:formatCode>0.00%</c:formatCode>
                <c:ptCount val="9"/>
                <c:pt idx="0">
                  <c:v>0.56305000000000005</c:v>
                </c:pt>
                <c:pt idx="1">
                  <c:v>0.38800000000000007</c:v>
                </c:pt>
                <c:pt idx="2">
                  <c:v>0.35314999999999996</c:v>
                </c:pt>
                <c:pt idx="3">
                  <c:v>0.27854000000000001</c:v>
                </c:pt>
                <c:pt idx="4">
                  <c:v>0.2537666666666667</c:v>
                </c:pt>
                <c:pt idx="5">
                  <c:v>0.21545</c:v>
                </c:pt>
                <c:pt idx="6">
                  <c:v>0.18920000000000001</c:v>
                </c:pt>
                <c:pt idx="7">
                  <c:v>0.16553333333333334</c:v>
                </c:pt>
                <c:pt idx="8">
                  <c:v>0.14596666666666666</c:v>
                </c:pt>
              </c:numCache>
            </c:numRef>
          </c:val>
          <c:smooth val="0"/>
          <c:extLst>
            <c:ext xmlns:c16="http://schemas.microsoft.com/office/drawing/2014/chart" uri="{C3380CC4-5D6E-409C-BE32-E72D297353CC}">
              <c16:uniqueId val="{00000001-35BA-4FC3-A79A-E2087DFECD3E}"/>
            </c:ext>
          </c:extLst>
        </c:ser>
        <c:ser>
          <c:idx val="2"/>
          <c:order val="2"/>
          <c:tx>
            <c:strRef>
              <c:f>'Typical  THDi levels '!$H$7</c:f>
              <c:strCache>
                <c:ptCount val="1"/>
                <c:pt idx="0">
                  <c:v>100</c:v>
                </c:pt>
              </c:strCache>
            </c:strRef>
          </c:tx>
          <c:spPr>
            <a:solidFill>
              <a:srgbClr val="FFFFCC"/>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'!$H$8:$H$16</c:f>
              <c:numCache>
                <c:formatCode>0.00%</c:formatCode>
                <c:ptCount val="9"/>
                <c:pt idx="0">
                  <c:v>0.75364999999999993</c:v>
                </c:pt>
                <c:pt idx="1">
                  <c:v>0.48816666666666669</c:v>
                </c:pt>
                <c:pt idx="2">
                  <c:v>0.42235</c:v>
                </c:pt>
                <c:pt idx="3">
                  <c:v>0.32932</c:v>
                </c:pt>
                <c:pt idx="4">
                  <c:v>0.29176666666666667</c:v>
                </c:pt>
                <c:pt idx="5">
                  <c:v>0.24523333333333333</c:v>
                </c:pt>
                <c:pt idx="6">
                  <c:v>0.20824999999999999</c:v>
                </c:pt>
                <c:pt idx="7">
                  <c:v>0.19113333333333335</c:v>
                </c:pt>
                <c:pt idx="8">
                  <c:v>0.15780000000000002</c:v>
                </c:pt>
              </c:numCache>
            </c:numRef>
          </c:val>
          <c:smooth val="0"/>
          <c:extLst>
            <c:ext xmlns:c16="http://schemas.microsoft.com/office/drawing/2014/chart" uri="{C3380CC4-5D6E-409C-BE32-E72D297353CC}">
              <c16:uniqueId val="{00000002-35BA-4FC3-A79A-E2087DFECD3E}"/>
            </c:ext>
          </c:extLst>
        </c:ser>
        <c:ser>
          <c:idx val="3"/>
          <c:order val="3"/>
          <c:tx>
            <c:strRef>
              <c:f>'Typical  THDi levels '!$I$7</c:f>
              <c:strCache>
                <c:ptCount val="1"/>
                <c:pt idx="0">
                  <c:v>150</c:v>
                </c:pt>
              </c:strCache>
            </c:strRef>
          </c:tx>
          <c:spPr>
            <a:solidFill>
              <a:srgbClr val="CCFFFF"/>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'!$I$8:$I$16</c:f>
              <c:numCache>
                <c:formatCode>0.00%</c:formatCode>
                <c:ptCount val="9"/>
                <c:pt idx="0">
                  <c:v>0.91900000000000004</c:v>
                </c:pt>
                <c:pt idx="1">
                  <c:v>0.5423</c:v>
                </c:pt>
                <c:pt idx="2">
                  <c:v>0.46355000000000002</c:v>
                </c:pt>
                <c:pt idx="3">
                  <c:v>0.35440000000000005</c:v>
                </c:pt>
                <c:pt idx="4">
                  <c:v>0.3116666666666667</c:v>
                </c:pt>
                <c:pt idx="5">
                  <c:v>0.25916666666666666</c:v>
                </c:pt>
                <c:pt idx="6">
                  <c:v>0.21825</c:v>
                </c:pt>
                <c:pt idx="7">
                  <c:v>0.20081666666666667</c:v>
                </c:pt>
                <c:pt idx="8">
                  <c:v>0.16369999999999998</c:v>
                </c:pt>
              </c:numCache>
            </c:numRef>
          </c:val>
          <c:smooth val="0"/>
          <c:extLst>
            <c:ext xmlns:c16="http://schemas.microsoft.com/office/drawing/2014/chart" uri="{C3380CC4-5D6E-409C-BE32-E72D297353CC}">
              <c16:uniqueId val="{00000003-35BA-4FC3-A79A-E2087DFECD3E}"/>
            </c:ext>
          </c:extLst>
        </c:ser>
        <c:ser>
          <c:idx val="4"/>
          <c:order val="4"/>
          <c:tx>
            <c:strRef>
              <c:f>'Typical  THDi levels '!$J$7</c:f>
              <c:strCache>
                <c:ptCount val="1"/>
                <c:pt idx="0">
                  <c:v>250</c:v>
                </c:pt>
              </c:strCache>
            </c:strRef>
          </c:tx>
          <c:spPr>
            <a:solidFill>
              <a:srgbClr val="660066"/>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'!$J$8:$J$16</c:f>
              <c:numCache>
                <c:formatCode>0.00%</c:formatCode>
                <c:ptCount val="9"/>
                <c:pt idx="0">
                  <c:v>1.1358999999999999</c:v>
                </c:pt>
                <c:pt idx="1">
                  <c:v>0.5769333333333333</c:v>
                </c:pt>
                <c:pt idx="2">
                  <c:v>0.49370000000000003</c:v>
                </c:pt>
                <c:pt idx="3">
                  <c:v>0.37078</c:v>
                </c:pt>
                <c:pt idx="4">
                  <c:v>0.33163333333333328</c:v>
                </c:pt>
                <c:pt idx="5">
                  <c:v>0.26793333333333336</c:v>
                </c:pt>
                <c:pt idx="6">
                  <c:v>0.22500000000000001</c:v>
                </c:pt>
                <c:pt idx="7">
                  <c:v>0.20613333333333331</c:v>
                </c:pt>
                <c:pt idx="8">
                  <c:v>0.1673</c:v>
                </c:pt>
              </c:numCache>
            </c:numRef>
          </c:val>
          <c:smooth val="0"/>
          <c:extLst>
            <c:ext xmlns:c16="http://schemas.microsoft.com/office/drawing/2014/chart" uri="{C3380CC4-5D6E-409C-BE32-E72D297353CC}">
              <c16:uniqueId val="{00000004-35BA-4FC3-A79A-E2087DFECD3E}"/>
            </c:ext>
          </c:extLst>
        </c:ser>
        <c:ser>
          <c:idx val="5"/>
          <c:order val="5"/>
          <c:tx>
            <c:strRef>
              <c:f>'Typical  THDi levels '!$K$7</c:f>
              <c:strCache>
                <c:ptCount val="1"/>
                <c:pt idx="0">
                  <c:v>500</c:v>
                </c:pt>
              </c:strCache>
            </c:strRef>
          </c:tx>
          <c:spPr>
            <a:solidFill>
              <a:srgbClr val="FF8080"/>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'!$K$8:$K$16</c:f>
              <c:numCache>
                <c:formatCode>0.00%</c:formatCode>
                <c:ptCount val="9"/>
                <c:pt idx="0">
                  <c:v>1.2319</c:v>
                </c:pt>
                <c:pt idx="1">
                  <c:v>0.60623333333333329</c:v>
                </c:pt>
                <c:pt idx="2">
                  <c:v>0.50109999999999999</c:v>
                </c:pt>
                <c:pt idx="3">
                  <c:v>0.38445999999999997</c:v>
                </c:pt>
                <c:pt idx="4">
                  <c:v>0.33136666666666664</c:v>
                </c:pt>
                <c:pt idx="5">
                  <c:v>0.27526166666666668</c:v>
                </c:pt>
                <c:pt idx="6">
                  <c:v>0.22655</c:v>
                </c:pt>
                <c:pt idx="7">
                  <c:v>0.21046666666666666</c:v>
                </c:pt>
                <c:pt idx="8">
                  <c:v>0.16906666666666667</c:v>
                </c:pt>
              </c:numCache>
            </c:numRef>
          </c:val>
          <c:smooth val="0"/>
          <c:extLst>
            <c:ext xmlns:c16="http://schemas.microsoft.com/office/drawing/2014/chart" uri="{C3380CC4-5D6E-409C-BE32-E72D297353CC}">
              <c16:uniqueId val="{00000005-35BA-4FC3-A79A-E2087DFECD3E}"/>
            </c:ext>
          </c:extLst>
        </c:ser>
        <c:ser>
          <c:idx val="6"/>
          <c:order val="6"/>
          <c:tx>
            <c:strRef>
              <c:f>'Typical  THDi levels '!$L$7</c:f>
              <c:strCache>
                <c:ptCount val="1"/>
                <c:pt idx="0">
                  <c:v>1000</c:v>
                </c:pt>
              </c:strCache>
            </c:strRef>
          </c:tx>
          <c:spPr>
            <a:solidFill>
              <a:srgbClr val="0066CC"/>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'!$L$8:$L$16</c:f>
              <c:numCache>
                <c:formatCode>0.00%</c:formatCode>
                <c:ptCount val="9"/>
                <c:pt idx="0">
                  <c:v>1.3910499999999999</c:v>
                </c:pt>
                <c:pt idx="1">
                  <c:v>0.62353333333333338</c:v>
                </c:pt>
                <c:pt idx="2">
                  <c:v>0.50875000000000004</c:v>
                </c:pt>
                <c:pt idx="3">
                  <c:v>0.39239999999999997</c:v>
                </c:pt>
                <c:pt idx="4">
                  <c:v>0.3358666666666667</c:v>
                </c:pt>
                <c:pt idx="5">
                  <c:v>0.27948333333333331</c:v>
                </c:pt>
                <c:pt idx="6">
                  <c:v>0.22814999999999999</c:v>
                </c:pt>
                <c:pt idx="7">
                  <c:v>0.21295</c:v>
                </c:pt>
                <c:pt idx="8">
                  <c:v>0.17023333333333335</c:v>
                </c:pt>
              </c:numCache>
            </c:numRef>
          </c:val>
          <c:smooth val="0"/>
          <c:extLst>
            <c:ext xmlns:c16="http://schemas.microsoft.com/office/drawing/2014/chart" uri="{C3380CC4-5D6E-409C-BE32-E72D297353CC}">
              <c16:uniqueId val="{00000006-35BA-4FC3-A79A-E2087DFECD3E}"/>
            </c:ext>
          </c:extLst>
        </c:ser>
        <c:ser>
          <c:idx val="7"/>
          <c:order val="7"/>
          <c:tx>
            <c:strRef>
              <c:f>'Typical  THDi levels '!$M$7</c:f>
              <c:strCache>
                <c:ptCount val="1"/>
                <c:pt idx="0">
                  <c:v>2500</c:v>
                </c:pt>
              </c:strCache>
            </c:strRef>
          </c:tx>
          <c:spPr>
            <a:solidFill>
              <a:srgbClr val="CCCCFF"/>
            </a:solidFill>
            <a:ln w="12700">
              <a:solidFill>
                <a:srgbClr val="000000"/>
              </a:solidFill>
              <a:prstDash val="solid"/>
            </a:ln>
          </c:spPr>
          <c:cat>
            <c:numRef>
              <c:f>'Typical  THDi levels '!$E$8:$E$16</c:f>
              <c:numCache>
                <c:formatCode>0.00%</c:formatCode>
                <c:ptCount val="9"/>
                <c:pt idx="0">
                  <c:v>0</c:v>
                </c:pt>
                <c:pt idx="1">
                  <c:v>1.1233333333333333E-2</c:v>
                </c:pt>
                <c:pt idx="2">
                  <c:v>1.4999999999999999E-2</c:v>
                </c:pt>
                <c:pt idx="3">
                  <c:v>2.6140000000000004E-2</c:v>
                </c:pt>
                <c:pt idx="4">
                  <c:v>0.03</c:v>
                </c:pt>
                <c:pt idx="5">
                  <c:v>4.2216666666666673E-2</c:v>
                </c:pt>
                <c:pt idx="6">
                  <c:v>0.05</c:v>
                </c:pt>
                <c:pt idx="7">
                  <c:v>5.9716666666666668E-2</c:v>
                </c:pt>
                <c:pt idx="8">
                  <c:v>7.4999999999999997E-2</c:v>
                </c:pt>
              </c:numCache>
            </c:numRef>
          </c:cat>
          <c:val>
            <c:numRef>
              <c:f>'Typical  THDi levels '!$M$8:$M$16</c:f>
              <c:numCache>
                <c:formatCode>0.00%</c:formatCode>
                <c:ptCount val="9"/>
                <c:pt idx="0">
                  <c:v>1.84755</c:v>
                </c:pt>
                <c:pt idx="1">
                  <c:v>0.63719999999999999</c:v>
                </c:pt>
                <c:pt idx="2">
                  <c:v>0.51729999999999998</c:v>
                </c:pt>
                <c:pt idx="3">
                  <c:v>0.39360000000000006</c:v>
                </c:pt>
                <c:pt idx="4">
                  <c:v>0.33970000000000006</c:v>
                </c:pt>
                <c:pt idx="5">
                  <c:v>0.28025000000000005</c:v>
                </c:pt>
                <c:pt idx="6">
                  <c:v>0.22994999999999999</c:v>
                </c:pt>
                <c:pt idx="7">
                  <c:v>0.21328333333333335</c:v>
                </c:pt>
                <c:pt idx="8">
                  <c:v>0.17120000000000002</c:v>
                </c:pt>
              </c:numCache>
            </c:numRef>
          </c:val>
          <c:smooth val="0"/>
          <c:extLst>
            <c:ext xmlns:c16="http://schemas.microsoft.com/office/drawing/2014/chart" uri="{C3380CC4-5D6E-409C-BE32-E72D297353CC}">
              <c16:uniqueId val="{00000007-35BA-4FC3-A79A-E2087DFECD3E}"/>
            </c:ext>
          </c:extLst>
        </c:ser>
        <c:dLbls>
          <c:showLegendKey val="0"/>
          <c:showVal val="0"/>
          <c:showCatName val="0"/>
          <c:showSerName val="0"/>
          <c:showPercent val="0"/>
          <c:showBubbleSize val="0"/>
        </c:dLbls>
        <c:axId val="38576128"/>
        <c:axId val="38578432"/>
        <c:axId val="38564736"/>
      </c:line3DChart>
      <c:catAx>
        <c:axId val="3857612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 Impedance</a:t>
                </a:r>
              </a:p>
            </c:rich>
          </c:tx>
          <c:layout>
            <c:manualLayout>
              <c:xMode val="edge"/>
              <c:yMode val="edge"/>
              <c:x val="0.3229464730506465"/>
              <c:y val="0.92446118695594248"/>
            </c:manualLayout>
          </c:layout>
          <c:overlay val="0"/>
          <c:spPr>
            <a:noFill/>
            <a:ln w="25400">
              <a:noFill/>
            </a:ln>
          </c:spPr>
        </c:title>
        <c:numFmt formatCode="0.0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8578432"/>
        <c:crosses val="autoZero"/>
        <c:auto val="1"/>
        <c:lblAlgn val="ctr"/>
        <c:lblOffset val="100"/>
        <c:tickLblSkip val="1"/>
        <c:tickMarkSkip val="1"/>
        <c:noMultiLvlLbl val="1"/>
      </c:catAx>
      <c:valAx>
        <c:axId val="3857843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 THDi</a:t>
                </a:r>
              </a:p>
            </c:rich>
          </c:tx>
          <c:layout>
            <c:manualLayout>
              <c:xMode val="edge"/>
              <c:yMode val="edge"/>
              <c:x val="8.7818696883852701E-2"/>
              <c:y val="0.487410449593081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8576128"/>
        <c:crosses val="autoZero"/>
        <c:crossBetween val="midCat"/>
      </c:valAx>
      <c:serAx>
        <c:axId val="38564736"/>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ShCR</a:t>
                </a:r>
              </a:p>
            </c:rich>
          </c:tx>
          <c:layout>
            <c:manualLayout>
              <c:xMode val="edge"/>
              <c:yMode val="edge"/>
              <c:x val="0.87677113307012855"/>
              <c:y val="0.78777053947393261"/>
            </c:manualLayout>
          </c:layout>
          <c:overlay val="0"/>
          <c:spPr>
            <a:noFill/>
            <a:ln w="25400">
              <a:noFill/>
            </a:ln>
          </c:spPr>
        </c:title>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8578432"/>
        <c:crosses val="autoZero"/>
        <c:tickLblSkip val="1"/>
        <c:tickMarkSkip val="1"/>
      </c:ser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311" r="0.75000000000000311" t="1" header="0.5" footer="0.5"/>
    <c:pageSetup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66495</xdr:rowOff>
    </xdr:from>
    <xdr:to>
      <xdr:col>2</xdr:col>
      <xdr:colOff>619124</xdr:colOff>
      <xdr:row>2</xdr:row>
      <xdr:rowOff>45612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66495"/>
          <a:ext cx="1266825" cy="379167"/>
        </a:xfrm>
        <a:prstGeom prst="rect">
          <a:avLst/>
        </a:prstGeom>
      </xdr:spPr>
    </xdr:pic>
    <xdr:clientData/>
  </xdr:twoCellAnchor>
  <xdr:twoCellAnchor editAs="oneCell">
    <xdr:from>
      <xdr:col>3</xdr:col>
      <xdr:colOff>1257300</xdr:colOff>
      <xdr:row>0</xdr:row>
      <xdr:rowOff>30019</xdr:rowOff>
    </xdr:from>
    <xdr:to>
      <xdr:col>8</xdr:col>
      <xdr:colOff>1</xdr:colOff>
      <xdr:row>2</xdr:row>
      <xdr:rowOff>106593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58050" y="230044"/>
          <a:ext cx="1666876" cy="476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600075</xdr:colOff>
      <xdr:row>17</xdr:row>
      <xdr:rowOff>0</xdr:rowOff>
    </xdr:from>
    <xdr:to>
      <xdr:col>6</xdr:col>
      <xdr:colOff>0</xdr:colOff>
      <xdr:row>17</xdr:row>
      <xdr:rowOff>0</xdr:rowOff>
    </xdr:to>
    <xdr:sp macro="" textlink="">
      <xdr:nvSpPr>
        <xdr:cNvPr id="56756" name="Line 1">
          <a:extLst>
            <a:ext uri="{FF2B5EF4-FFF2-40B4-BE49-F238E27FC236}">
              <a16:creationId xmlns:a16="http://schemas.microsoft.com/office/drawing/2014/main" id="{00000000-0008-0000-0400-0000B4DD0000}"/>
            </a:ext>
          </a:extLst>
        </xdr:cNvPr>
        <xdr:cNvSpPr>
          <a:spLocks noChangeShapeType="1"/>
        </xdr:cNvSpPr>
      </xdr:nvSpPr>
      <xdr:spPr bwMode="auto">
        <a:xfrm>
          <a:off x="2047875" y="1924050"/>
          <a:ext cx="609600" cy="0"/>
        </a:xfrm>
        <a:prstGeom prst="line">
          <a:avLst/>
        </a:prstGeom>
        <a:noFill/>
        <a:ln w="19050">
          <a:solidFill>
            <a:srgbClr val="000000"/>
          </a:solidFill>
          <a:round/>
          <a:headEnd/>
          <a:tailEnd type="none" w="lg" len="lg"/>
        </a:ln>
      </xdr:spPr>
    </xdr:sp>
    <xdr:clientData/>
  </xdr:twoCellAnchor>
  <xdr:twoCellAnchor>
    <xdr:from>
      <xdr:col>8</xdr:col>
      <xdr:colOff>485775</xdr:colOff>
      <xdr:row>16</xdr:row>
      <xdr:rowOff>9525</xdr:rowOff>
    </xdr:from>
    <xdr:to>
      <xdr:col>9</xdr:col>
      <xdr:colOff>247650</xdr:colOff>
      <xdr:row>18</xdr:row>
      <xdr:rowOff>0</xdr:rowOff>
    </xdr:to>
    <xdr:sp macro="" textlink="">
      <xdr:nvSpPr>
        <xdr:cNvPr id="56757" name="Oval 2">
          <a:extLst>
            <a:ext uri="{FF2B5EF4-FFF2-40B4-BE49-F238E27FC236}">
              <a16:creationId xmlns:a16="http://schemas.microsoft.com/office/drawing/2014/main" id="{00000000-0008-0000-0400-0000B5DD0000}"/>
            </a:ext>
          </a:extLst>
        </xdr:cNvPr>
        <xdr:cNvSpPr>
          <a:spLocks noChangeArrowheads="1"/>
        </xdr:cNvSpPr>
      </xdr:nvSpPr>
      <xdr:spPr bwMode="auto">
        <a:xfrm>
          <a:off x="4429125" y="1771650"/>
          <a:ext cx="371475" cy="314325"/>
        </a:xfrm>
        <a:prstGeom prst="ellipse">
          <a:avLst/>
        </a:prstGeom>
        <a:noFill/>
        <a:ln w="19050">
          <a:solidFill>
            <a:srgbClr val="000000"/>
          </a:solidFill>
          <a:round/>
          <a:headEnd/>
          <a:tailEnd/>
        </a:ln>
      </xdr:spPr>
    </xdr:sp>
    <xdr:clientData/>
  </xdr:twoCellAnchor>
  <xdr:twoCellAnchor>
    <xdr:from>
      <xdr:col>6</xdr:col>
      <xdr:colOff>0</xdr:colOff>
      <xdr:row>17</xdr:row>
      <xdr:rowOff>0</xdr:rowOff>
    </xdr:from>
    <xdr:to>
      <xdr:col>6</xdr:col>
      <xdr:colOff>476250</xdr:colOff>
      <xdr:row>18</xdr:row>
      <xdr:rowOff>38100</xdr:rowOff>
    </xdr:to>
    <xdr:sp macro="" textlink="">
      <xdr:nvSpPr>
        <xdr:cNvPr id="56758" name="Line 3">
          <a:extLst>
            <a:ext uri="{FF2B5EF4-FFF2-40B4-BE49-F238E27FC236}">
              <a16:creationId xmlns:a16="http://schemas.microsoft.com/office/drawing/2014/main" id="{00000000-0008-0000-0400-0000B6DD0000}"/>
            </a:ext>
          </a:extLst>
        </xdr:cNvPr>
        <xdr:cNvSpPr>
          <a:spLocks noChangeShapeType="1"/>
        </xdr:cNvSpPr>
      </xdr:nvSpPr>
      <xdr:spPr bwMode="auto">
        <a:xfrm>
          <a:off x="2657475" y="1924050"/>
          <a:ext cx="476250" cy="200025"/>
        </a:xfrm>
        <a:prstGeom prst="line">
          <a:avLst/>
        </a:prstGeom>
        <a:noFill/>
        <a:ln w="19050">
          <a:solidFill>
            <a:srgbClr val="000000"/>
          </a:solidFill>
          <a:round/>
          <a:headEnd/>
          <a:tailEnd/>
        </a:ln>
      </xdr:spPr>
    </xdr:sp>
    <xdr:clientData/>
  </xdr:twoCellAnchor>
  <xdr:twoCellAnchor>
    <xdr:from>
      <xdr:col>6</xdr:col>
      <xdr:colOff>600075</xdr:colOff>
      <xdr:row>18</xdr:row>
      <xdr:rowOff>104775</xdr:rowOff>
    </xdr:from>
    <xdr:to>
      <xdr:col>6</xdr:col>
      <xdr:colOff>600075</xdr:colOff>
      <xdr:row>20</xdr:row>
      <xdr:rowOff>0</xdr:rowOff>
    </xdr:to>
    <xdr:sp macro="" textlink="">
      <xdr:nvSpPr>
        <xdr:cNvPr id="56759" name="Line 4">
          <a:extLst>
            <a:ext uri="{FF2B5EF4-FFF2-40B4-BE49-F238E27FC236}">
              <a16:creationId xmlns:a16="http://schemas.microsoft.com/office/drawing/2014/main" id="{00000000-0008-0000-0400-0000B7DD0000}"/>
            </a:ext>
          </a:extLst>
        </xdr:cNvPr>
        <xdr:cNvSpPr>
          <a:spLocks noChangeShapeType="1"/>
        </xdr:cNvSpPr>
      </xdr:nvSpPr>
      <xdr:spPr bwMode="auto">
        <a:xfrm flipV="1">
          <a:off x="3257550" y="2190750"/>
          <a:ext cx="0" cy="219075"/>
        </a:xfrm>
        <a:prstGeom prst="line">
          <a:avLst/>
        </a:prstGeom>
        <a:noFill/>
        <a:ln w="9525">
          <a:solidFill>
            <a:srgbClr val="000000"/>
          </a:solidFill>
          <a:round/>
          <a:headEnd/>
          <a:tailEnd/>
        </a:ln>
      </xdr:spPr>
    </xdr:sp>
    <xdr:clientData/>
  </xdr:twoCellAnchor>
  <xdr:twoCellAnchor>
    <xdr:from>
      <xdr:col>7</xdr:col>
      <xdr:colOff>647700</xdr:colOff>
      <xdr:row>16</xdr:row>
      <xdr:rowOff>152400</xdr:rowOff>
    </xdr:from>
    <xdr:to>
      <xdr:col>8</xdr:col>
      <xdr:colOff>476250</xdr:colOff>
      <xdr:row>17</xdr:row>
      <xdr:rowOff>0</xdr:rowOff>
    </xdr:to>
    <xdr:sp macro="" textlink="">
      <xdr:nvSpPr>
        <xdr:cNvPr id="56760" name="Line 5">
          <a:extLst>
            <a:ext uri="{FF2B5EF4-FFF2-40B4-BE49-F238E27FC236}">
              <a16:creationId xmlns:a16="http://schemas.microsoft.com/office/drawing/2014/main" id="{00000000-0008-0000-0400-0000B8DD0000}"/>
            </a:ext>
          </a:extLst>
        </xdr:cNvPr>
        <xdr:cNvSpPr>
          <a:spLocks noChangeShapeType="1"/>
        </xdr:cNvSpPr>
      </xdr:nvSpPr>
      <xdr:spPr bwMode="auto">
        <a:xfrm flipV="1">
          <a:off x="3914775" y="1914525"/>
          <a:ext cx="504825" cy="9525"/>
        </a:xfrm>
        <a:prstGeom prst="line">
          <a:avLst/>
        </a:prstGeom>
        <a:noFill/>
        <a:ln w="19050">
          <a:solidFill>
            <a:srgbClr val="000000"/>
          </a:solidFill>
          <a:round/>
          <a:headEnd/>
          <a:tailEnd/>
        </a:ln>
      </xdr:spPr>
    </xdr:sp>
    <xdr:clientData/>
  </xdr:twoCellAnchor>
  <xdr:twoCellAnchor>
    <xdr:from>
      <xdr:col>7</xdr:col>
      <xdr:colOff>142875</xdr:colOff>
      <xdr:row>16</xdr:row>
      <xdr:rowOff>152400</xdr:rowOff>
    </xdr:from>
    <xdr:to>
      <xdr:col>8</xdr:col>
      <xdr:colOff>0</xdr:colOff>
      <xdr:row>18</xdr:row>
      <xdr:rowOff>47625</xdr:rowOff>
    </xdr:to>
    <xdr:sp macro="" textlink="">
      <xdr:nvSpPr>
        <xdr:cNvPr id="56761" name="Line 6">
          <a:extLst>
            <a:ext uri="{FF2B5EF4-FFF2-40B4-BE49-F238E27FC236}">
              <a16:creationId xmlns:a16="http://schemas.microsoft.com/office/drawing/2014/main" id="{00000000-0008-0000-0400-0000B9DD0000}"/>
            </a:ext>
          </a:extLst>
        </xdr:cNvPr>
        <xdr:cNvSpPr>
          <a:spLocks noChangeShapeType="1"/>
        </xdr:cNvSpPr>
      </xdr:nvSpPr>
      <xdr:spPr bwMode="auto">
        <a:xfrm flipH="1">
          <a:off x="3409950" y="1914525"/>
          <a:ext cx="533400" cy="219075"/>
        </a:xfrm>
        <a:prstGeom prst="line">
          <a:avLst/>
        </a:prstGeom>
        <a:noFill/>
        <a:ln w="19050">
          <a:solidFill>
            <a:srgbClr val="000000"/>
          </a:solidFill>
          <a:round/>
          <a:headEnd/>
          <a:tailEnd/>
        </a:ln>
      </xdr:spPr>
    </xdr:sp>
    <xdr:clientData/>
  </xdr:twoCellAnchor>
  <xdr:twoCellAnchor>
    <xdr:from>
      <xdr:col>6</xdr:col>
      <xdr:colOff>447675</xdr:colOff>
      <xdr:row>18</xdr:row>
      <xdr:rowOff>9525</xdr:rowOff>
    </xdr:from>
    <xdr:to>
      <xdr:col>6</xdr:col>
      <xdr:colOff>523875</xdr:colOff>
      <xdr:row>18</xdr:row>
      <xdr:rowOff>85725</xdr:rowOff>
    </xdr:to>
    <xdr:sp macro="" textlink="">
      <xdr:nvSpPr>
        <xdr:cNvPr id="56762" name="Oval 7">
          <a:extLst>
            <a:ext uri="{FF2B5EF4-FFF2-40B4-BE49-F238E27FC236}">
              <a16:creationId xmlns:a16="http://schemas.microsoft.com/office/drawing/2014/main" id="{00000000-0008-0000-0400-0000BADD0000}"/>
            </a:ext>
          </a:extLst>
        </xdr:cNvPr>
        <xdr:cNvSpPr>
          <a:spLocks noChangeArrowheads="1"/>
        </xdr:cNvSpPr>
      </xdr:nvSpPr>
      <xdr:spPr bwMode="auto">
        <a:xfrm>
          <a:off x="3105150" y="2095500"/>
          <a:ext cx="76200" cy="76200"/>
        </a:xfrm>
        <a:prstGeom prst="ellipse">
          <a:avLst/>
        </a:prstGeom>
        <a:solidFill>
          <a:srgbClr val="FFFFFF"/>
        </a:solidFill>
        <a:ln w="9525">
          <a:solidFill>
            <a:srgbClr val="000000"/>
          </a:solidFill>
          <a:round/>
          <a:headEnd/>
          <a:tailEnd/>
        </a:ln>
      </xdr:spPr>
    </xdr:sp>
    <xdr:clientData/>
  </xdr:twoCellAnchor>
  <xdr:twoCellAnchor>
    <xdr:from>
      <xdr:col>6</xdr:col>
      <xdr:colOff>561975</xdr:colOff>
      <xdr:row>19</xdr:row>
      <xdr:rowOff>123825</xdr:rowOff>
    </xdr:from>
    <xdr:to>
      <xdr:col>7</xdr:col>
      <xdr:colOff>28575</xdr:colOff>
      <xdr:row>20</xdr:row>
      <xdr:rowOff>38100</xdr:rowOff>
    </xdr:to>
    <xdr:sp macro="" textlink="">
      <xdr:nvSpPr>
        <xdr:cNvPr id="56763" name="Oval 8">
          <a:extLst>
            <a:ext uri="{FF2B5EF4-FFF2-40B4-BE49-F238E27FC236}">
              <a16:creationId xmlns:a16="http://schemas.microsoft.com/office/drawing/2014/main" id="{00000000-0008-0000-0400-0000BBDD0000}"/>
            </a:ext>
          </a:extLst>
        </xdr:cNvPr>
        <xdr:cNvSpPr>
          <a:spLocks noChangeArrowheads="1"/>
        </xdr:cNvSpPr>
      </xdr:nvSpPr>
      <xdr:spPr bwMode="auto">
        <a:xfrm>
          <a:off x="3219450" y="2371725"/>
          <a:ext cx="76200" cy="76200"/>
        </a:xfrm>
        <a:prstGeom prst="ellipse">
          <a:avLst/>
        </a:prstGeom>
        <a:solidFill>
          <a:srgbClr val="FFFFFF"/>
        </a:solidFill>
        <a:ln w="9525">
          <a:solidFill>
            <a:srgbClr val="000000"/>
          </a:solidFill>
          <a:round/>
          <a:headEnd/>
          <a:tailEnd/>
        </a:ln>
      </xdr:spPr>
    </xdr:sp>
    <xdr:clientData/>
  </xdr:twoCellAnchor>
  <xdr:twoCellAnchor>
    <xdr:from>
      <xdr:col>6</xdr:col>
      <xdr:colOff>561975</xdr:colOff>
      <xdr:row>18</xdr:row>
      <xdr:rowOff>47625</xdr:rowOff>
    </xdr:from>
    <xdr:to>
      <xdr:col>7</xdr:col>
      <xdr:colOff>28575</xdr:colOff>
      <xdr:row>18</xdr:row>
      <xdr:rowOff>123825</xdr:rowOff>
    </xdr:to>
    <xdr:sp macro="" textlink="">
      <xdr:nvSpPr>
        <xdr:cNvPr id="56764" name="Oval 9">
          <a:extLst>
            <a:ext uri="{FF2B5EF4-FFF2-40B4-BE49-F238E27FC236}">
              <a16:creationId xmlns:a16="http://schemas.microsoft.com/office/drawing/2014/main" id="{00000000-0008-0000-0400-0000BCDD0000}"/>
            </a:ext>
          </a:extLst>
        </xdr:cNvPr>
        <xdr:cNvSpPr>
          <a:spLocks noChangeArrowheads="1"/>
        </xdr:cNvSpPr>
      </xdr:nvSpPr>
      <xdr:spPr bwMode="auto">
        <a:xfrm>
          <a:off x="3219450" y="21336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85725</xdr:colOff>
      <xdr:row>18</xdr:row>
      <xdr:rowOff>28575</xdr:rowOff>
    </xdr:from>
    <xdr:to>
      <xdr:col>7</xdr:col>
      <xdr:colOff>161925</xdr:colOff>
      <xdr:row>18</xdr:row>
      <xdr:rowOff>104775</xdr:rowOff>
    </xdr:to>
    <xdr:sp macro="" textlink="">
      <xdr:nvSpPr>
        <xdr:cNvPr id="56765" name="Oval 10">
          <a:extLst>
            <a:ext uri="{FF2B5EF4-FFF2-40B4-BE49-F238E27FC236}">
              <a16:creationId xmlns:a16="http://schemas.microsoft.com/office/drawing/2014/main" id="{00000000-0008-0000-0400-0000BDDD0000}"/>
            </a:ext>
          </a:extLst>
        </xdr:cNvPr>
        <xdr:cNvSpPr>
          <a:spLocks noChangeArrowheads="1"/>
        </xdr:cNvSpPr>
      </xdr:nvSpPr>
      <xdr:spPr bwMode="auto">
        <a:xfrm>
          <a:off x="3352800" y="2114550"/>
          <a:ext cx="76200" cy="76200"/>
        </a:xfrm>
        <a:prstGeom prst="ellipse">
          <a:avLst/>
        </a:prstGeom>
        <a:solidFill>
          <a:srgbClr val="FFFFFF"/>
        </a:solidFill>
        <a:ln w="9525">
          <a:solidFill>
            <a:srgbClr val="000000"/>
          </a:solidFill>
          <a:round/>
          <a:headEnd/>
          <a:tailEnd/>
        </a:ln>
      </xdr:spPr>
    </xdr:sp>
    <xdr:clientData/>
  </xdr:twoCellAnchor>
  <xdr:twoCellAnchor>
    <xdr:from>
      <xdr:col>6</xdr:col>
      <xdr:colOff>600075</xdr:colOff>
      <xdr:row>20</xdr:row>
      <xdr:rowOff>19050</xdr:rowOff>
    </xdr:from>
    <xdr:to>
      <xdr:col>6</xdr:col>
      <xdr:colOff>600075</xdr:colOff>
      <xdr:row>24</xdr:row>
      <xdr:rowOff>0</xdr:rowOff>
    </xdr:to>
    <xdr:sp macro="" textlink="">
      <xdr:nvSpPr>
        <xdr:cNvPr id="56766" name="Line 11">
          <a:extLst>
            <a:ext uri="{FF2B5EF4-FFF2-40B4-BE49-F238E27FC236}">
              <a16:creationId xmlns:a16="http://schemas.microsoft.com/office/drawing/2014/main" id="{00000000-0008-0000-0400-0000BEDD0000}"/>
            </a:ext>
          </a:extLst>
        </xdr:cNvPr>
        <xdr:cNvSpPr>
          <a:spLocks noChangeShapeType="1"/>
        </xdr:cNvSpPr>
      </xdr:nvSpPr>
      <xdr:spPr bwMode="auto">
        <a:xfrm>
          <a:off x="3257550" y="2428875"/>
          <a:ext cx="0" cy="628650"/>
        </a:xfrm>
        <a:prstGeom prst="line">
          <a:avLst/>
        </a:prstGeom>
        <a:noFill/>
        <a:ln w="19050">
          <a:solidFill>
            <a:srgbClr val="000000"/>
          </a:solidFill>
          <a:round/>
          <a:headEnd/>
          <a:tailEnd/>
        </a:ln>
      </xdr:spPr>
    </xdr:sp>
    <xdr:clientData/>
  </xdr:twoCellAnchor>
  <xdr:twoCellAnchor>
    <xdr:from>
      <xdr:col>6</xdr:col>
      <xdr:colOff>409575</xdr:colOff>
      <xdr:row>24</xdr:row>
      <xdr:rowOff>9525</xdr:rowOff>
    </xdr:from>
    <xdr:to>
      <xdr:col>7</xdr:col>
      <xdr:colOff>171450</xdr:colOff>
      <xdr:row>26</xdr:row>
      <xdr:rowOff>0</xdr:rowOff>
    </xdr:to>
    <xdr:sp macro="" textlink="">
      <xdr:nvSpPr>
        <xdr:cNvPr id="56767" name="Oval 12">
          <a:extLst>
            <a:ext uri="{FF2B5EF4-FFF2-40B4-BE49-F238E27FC236}">
              <a16:creationId xmlns:a16="http://schemas.microsoft.com/office/drawing/2014/main" id="{00000000-0008-0000-0400-0000BFDD0000}"/>
            </a:ext>
          </a:extLst>
        </xdr:cNvPr>
        <xdr:cNvSpPr>
          <a:spLocks noChangeArrowheads="1"/>
        </xdr:cNvSpPr>
      </xdr:nvSpPr>
      <xdr:spPr bwMode="auto">
        <a:xfrm>
          <a:off x="3067050" y="3067050"/>
          <a:ext cx="371475" cy="333375"/>
        </a:xfrm>
        <a:prstGeom prst="ellipse">
          <a:avLst/>
        </a:prstGeom>
        <a:noFill/>
        <a:ln w="19050">
          <a:solidFill>
            <a:srgbClr val="000000"/>
          </a:solidFill>
          <a:round/>
          <a:headEnd/>
          <a:tailEnd/>
        </a:ln>
      </xdr:spPr>
    </xdr:sp>
    <xdr:clientData/>
  </xdr:twoCellAnchor>
  <xdr:twoCellAnchor>
    <xdr:from>
      <xdr:col>6</xdr:col>
      <xdr:colOff>409575</xdr:colOff>
      <xdr:row>24</xdr:row>
      <xdr:rowOff>142875</xdr:rowOff>
    </xdr:from>
    <xdr:to>
      <xdr:col>7</xdr:col>
      <xdr:colOff>171450</xdr:colOff>
      <xdr:row>26</xdr:row>
      <xdr:rowOff>133350</xdr:rowOff>
    </xdr:to>
    <xdr:sp macro="" textlink="">
      <xdr:nvSpPr>
        <xdr:cNvPr id="56768" name="Oval 13">
          <a:extLst>
            <a:ext uri="{FF2B5EF4-FFF2-40B4-BE49-F238E27FC236}">
              <a16:creationId xmlns:a16="http://schemas.microsoft.com/office/drawing/2014/main" id="{00000000-0008-0000-0400-0000C0DD0000}"/>
            </a:ext>
          </a:extLst>
        </xdr:cNvPr>
        <xdr:cNvSpPr>
          <a:spLocks noChangeArrowheads="1"/>
        </xdr:cNvSpPr>
      </xdr:nvSpPr>
      <xdr:spPr bwMode="auto">
        <a:xfrm>
          <a:off x="3067050" y="3200400"/>
          <a:ext cx="371475" cy="333375"/>
        </a:xfrm>
        <a:prstGeom prst="ellipse">
          <a:avLst/>
        </a:prstGeom>
        <a:noFill/>
        <a:ln w="19050">
          <a:solidFill>
            <a:srgbClr val="000000"/>
          </a:solidFill>
          <a:round/>
          <a:headEnd/>
          <a:tailEnd/>
        </a:ln>
      </xdr:spPr>
    </xdr:sp>
    <xdr:clientData/>
  </xdr:twoCellAnchor>
  <xdr:twoCellAnchor>
    <xdr:from>
      <xdr:col>5</xdr:col>
      <xdr:colOff>419100</xdr:colOff>
      <xdr:row>34</xdr:row>
      <xdr:rowOff>9525</xdr:rowOff>
    </xdr:from>
    <xdr:to>
      <xdr:col>6</xdr:col>
      <xdr:colOff>180975</xdr:colOff>
      <xdr:row>36</xdr:row>
      <xdr:rowOff>0</xdr:rowOff>
    </xdr:to>
    <xdr:sp macro="" textlink="">
      <xdr:nvSpPr>
        <xdr:cNvPr id="56769" name="Oval 14">
          <a:extLst>
            <a:ext uri="{FF2B5EF4-FFF2-40B4-BE49-F238E27FC236}">
              <a16:creationId xmlns:a16="http://schemas.microsoft.com/office/drawing/2014/main" id="{00000000-0008-0000-0400-0000C1DD0000}"/>
            </a:ext>
          </a:extLst>
        </xdr:cNvPr>
        <xdr:cNvSpPr>
          <a:spLocks noChangeArrowheads="1"/>
        </xdr:cNvSpPr>
      </xdr:nvSpPr>
      <xdr:spPr bwMode="auto">
        <a:xfrm>
          <a:off x="2466975" y="4705350"/>
          <a:ext cx="371475" cy="314325"/>
        </a:xfrm>
        <a:prstGeom prst="ellipse">
          <a:avLst/>
        </a:prstGeom>
        <a:noFill/>
        <a:ln w="19050">
          <a:solidFill>
            <a:srgbClr val="000000"/>
          </a:solidFill>
          <a:round/>
          <a:headEnd/>
          <a:tailEnd/>
        </a:ln>
      </xdr:spPr>
    </xdr:sp>
    <xdr:clientData/>
  </xdr:twoCellAnchor>
  <xdr:twoCellAnchor>
    <xdr:from>
      <xdr:col>5</xdr:col>
      <xdr:colOff>419100</xdr:colOff>
      <xdr:row>35</xdr:row>
      <xdr:rowOff>9525</xdr:rowOff>
    </xdr:from>
    <xdr:to>
      <xdr:col>6</xdr:col>
      <xdr:colOff>180975</xdr:colOff>
      <xdr:row>37</xdr:row>
      <xdr:rowOff>0</xdr:rowOff>
    </xdr:to>
    <xdr:sp macro="" textlink="">
      <xdr:nvSpPr>
        <xdr:cNvPr id="56770" name="Oval 15">
          <a:extLst>
            <a:ext uri="{FF2B5EF4-FFF2-40B4-BE49-F238E27FC236}">
              <a16:creationId xmlns:a16="http://schemas.microsoft.com/office/drawing/2014/main" id="{00000000-0008-0000-0400-0000C2DD0000}"/>
            </a:ext>
          </a:extLst>
        </xdr:cNvPr>
        <xdr:cNvSpPr>
          <a:spLocks noChangeArrowheads="1"/>
        </xdr:cNvSpPr>
      </xdr:nvSpPr>
      <xdr:spPr bwMode="auto">
        <a:xfrm>
          <a:off x="2466975" y="4867275"/>
          <a:ext cx="371475" cy="314325"/>
        </a:xfrm>
        <a:prstGeom prst="ellipse">
          <a:avLst/>
        </a:prstGeom>
        <a:noFill/>
        <a:ln w="19050">
          <a:solidFill>
            <a:srgbClr val="000000"/>
          </a:solidFill>
          <a:round/>
          <a:headEnd/>
          <a:tailEnd/>
        </a:ln>
      </xdr:spPr>
    </xdr:sp>
    <xdr:clientData/>
  </xdr:twoCellAnchor>
  <xdr:twoCellAnchor>
    <xdr:from>
      <xdr:col>6</xdr:col>
      <xdr:colOff>600075</xdr:colOff>
      <xdr:row>26</xdr:row>
      <xdr:rowOff>142875</xdr:rowOff>
    </xdr:from>
    <xdr:to>
      <xdr:col>6</xdr:col>
      <xdr:colOff>600075</xdr:colOff>
      <xdr:row>31</xdr:row>
      <xdr:rowOff>9525</xdr:rowOff>
    </xdr:to>
    <xdr:sp macro="" textlink="">
      <xdr:nvSpPr>
        <xdr:cNvPr id="56771" name="Line 16">
          <a:extLst>
            <a:ext uri="{FF2B5EF4-FFF2-40B4-BE49-F238E27FC236}">
              <a16:creationId xmlns:a16="http://schemas.microsoft.com/office/drawing/2014/main" id="{00000000-0008-0000-0400-0000C3DD0000}"/>
            </a:ext>
          </a:extLst>
        </xdr:cNvPr>
        <xdr:cNvSpPr>
          <a:spLocks noChangeShapeType="1"/>
        </xdr:cNvSpPr>
      </xdr:nvSpPr>
      <xdr:spPr bwMode="auto">
        <a:xfrm>
          <a:off x="3257550" y="3543300"/>
          <a:ext cx="0" cy="676275"/>
        </a:xfrm>
        <a:prstGeom prst="line">
          <a:avLst/>
        </a:prstGeom>
        <a:noFill/>
        <a:ln w="19050">
          <a:solidFill>
            <a:srgbClr val="000000"/>
          </a:solidFill>
          <a:round/>
          <a:headEnd/>
          <a:tailEnd/>
        </a:ln>
      </xdr:spPr>
    </xdr:sp>
    <xdr:clientData/>
  </xdr:twoCellAnchor>
  <xdr:twoCellAnchor>
    <xdr:from>
      <xdr:col>4</xdr:col>
      <xdr:colOff>0</xdr:colOff>
      <xdr:row>31</xdr:row>
      <xdr:rowOff>9525</xdr:rowOff>
    </xdr:from>
    <xdr:to>
      <xdr:col>10</xdr:col>
      <xdr:colOff>9525</xdr:colOff>
      <xdr:row>31</xdr:row>
      <xdr:rowOff>9525</xdr:rowOff>
    </xdr:to>
    <xdr:sp macro="" textlink="">
      <xdr:nvSpPr>
        <xdr:cNvPr id="56772" name="Line 17">
          <a:extLst>
            <a:ext uri="{FF2B5EF4-FFF2-40B4-BE49-F238E27FC236}">
              <a16:creationId xmlns:a16="http://schemas.microsoft.com/office/drawing/2014/main" id="{00000000-0008-0000-0400-0000C4DD0000}"/>
            </a:ext>
          </a:extLst>
        </xdr:cNvPr>
        <xdr:cNvSpPr>
          <a:spLocks noChangeShapeType="1"/>
        </xdr:cNvSpPr>
      </xdr:nvSpPr>
      <xdr:spPr bwMode="auto">
        <a:xfrm>
          <a:off x="1485900" y="4219575"/>
          <a:ext cx="3686175" cy="0"/>
        </a:xfrm>
        <a:prstGeom prst="line">
          <a:avLst/>
        </a:prstGeom>
        <a:noFill/>
        <a:ln w="19050">
          <a:solidFill>
            <a:srgbClr val="000000"/>
          </a:solidFill>
          <a:round/>
          <a:headEnd/>
          <a:tailEnd/>
        </a:ln>
      </xdr:spPr>
    </xdr:sp>
    <xdr:clientData/>
  </xdr:twoCellAnchor>
  <xdr:twoCellAnchor>
    <xdr:from>
      <xdr:col>6</xdr:col>
      <xdr:colOff>0</xdr:colOff>
      <xdr:row>31</xdr:row>
      <xdr:rowOff>0</xdr:rowOff>
    </xdr:from>
    <xdr:to>
      <xdr:col>6</xdr:col>
      <xdr:colOff>0</xdr:colOff>
      <xdr:row>34</xdr:row>
      <xdr:rowOff>0</xdr:rowOff>
    </xdr:to>
    <xdr:sp macro="" textlink="">
      <xdr:nvSpPr>
        <xdr:cNvPr id="56773" name="Line 18">
          <a:extLst>
            <a:ext uri="{FF2B5EF4-FFF2-40B4-BE49-F238E27FC236}">
              <a16:creationId xmlns:a16="http://schemas.microsoft.com/office/drawing/2014/main" id="{00000000-0008-0000-0400-0000C5DD0000}"/>
            </a:ext>
          </a:extLst>
        </xdr:cNvPr>
        <xdr:cNvSpPr>
          <a:spLocks noChangeShapeType="1"/>
        </xdr:cNvSpPr>
      </xdr:nvSpPr>
      <xdr:spPr bwMode="auto">
        <a:xfrm>
          <a:off x="2657475" y="4210050"/>
          <a:ext cx="0" cy="485775"/>
        </a:xfrm>
        <a:prstGeom prst="line">
          <a:avLst/>
        </a:prstGeom>
        <a:noFill/>
        <a:ln w="19050">
          <a:solidFill>
            <a:srgbClr val="000000"/>
          </a:solidFill>
          <a:round/>
          <a:headEnd/>
          <a:tailEnd/>
        </a:ln>
      </xdr:spPr>
    </xdr:sp>
    <xdr:clientData/>
  </xdr:twoCellAnchor>
  <xdr:twoCellAnchor>
    <xdr:from>
      <xdr:col>6</xdr:col>
      <xdr:colOff>0</xdr:colOff>
      <xdr:row>37</xdr:row>
      <xdr:rowOff>9525</xdr:rowOff>
    </xdr:from>
    <xdr:to>
      <xdr:col>6</xdr:col>
      <xdr:colOff>0</xdr:colOff>
      <xdr:row>40</xdr:row>
      <xdr:rowOff>0</xdr:rowOff>
    </xdr:to>
    <xdr:sp macro="" textlink="">
      <xdr:nvSpPr>
        <xdr:cNvPr id="56774" name="Line 19">
          <a:extLst>
            <a:ext uri="{FF2B5EF4-FFF2-40B4-BE49-F238E27FC236}">
              <a16:creationId xmlns:a16="http://schemas.microsoft.com/office/drawing/2014/main" id="{00000000-0008-0000-0400-0000C6DD0000}"/>
            </a:ext>
          </a:extLst>
        </xdr:cNvPr>
        <xdr:cNvSpPr>
          <a:spLocks noChangeShapeType="1"/>
        </xdr:cNvSpPr>
      </xdr:nvSpPr>
      <xdr:spPr bwMode="auto">
        <a:xfrm>
          <a:off x="2657475" y="5191125"/>
          <a:ext cx="0" cy="476250"/>
        </a:xfrm>
        <a:prstGeom prst="line">
          <a:avLst/>
        </a:prstGeom>
        <a:noFill/>
        <a:ln w="19050">
          <a:solidFill>
            <a:srgbClr val="000000"/>
          </a:solidFill>
          <a:round/>
          <a:headEnd/>
          <a:tailEnd/>
        </a:ln>
      </xdr:spPr>
    </xdr:sp>
    <xdr:clientData/>
  </xdr:twoCellAnchor>
  <xdr:twoCellAnchor>
    <xdr:from>
      <xdr:col>3</xdr:col>
      <xdr:colOff>600075</xdr:colOff>
      <xdr:row>40</xdr:row>
      <xdr:rowOff>9525</xdr:rowOff>
    </xdr:from>
    <xdr:to>
      <xdr:col>8</xdr:col>
      <xdr:colOff>19050</xdr:colOff>
      <xdr:row>40</xdr:row>
      <xdr:rowOff>9525</xdr:rowOff>
    </xdr:to>
    <xdr:sp macro="" textlink="">
      <xdr:nvSpPr>
        <xdr:cNvPr id="56775" name="Line 20">
          <a:extLst>
            <a:ext uri="{FF2B5EF4-FFF2-40B4-BE49-F238E27FC236}">
              <a16:creationId xmlns:a16="http://schemas.microsoft.com/office/drawing/2014/main" id="{00000000-0008-0000-0400-0000C7DD0000}"/>
            </a:ext>
          </a:extLst>
        </xdr:cNvPr>
        <xdr:cNvSpPr>
          <a:spLocks noChangeShapeType="1"/>
        </xdr:cNvSpPr>
      </xdr:nvSpPr>
      <xdr:spPr bwMode="auto">
        <a:xfrm>
          <a:off x="1476375" y="5676900"/>
          <a:ext cx="2486025" cy="0"/>
        </a:xfrm>
        <a:prstGeom prst="line">
          <a:avLst/>
        </a:prstGeom>
        <a:noFill/>
        <a:ln w="19050">
          <a:solidFill>
            <a:srgbClr val="000000"/>
          </a:solidFill>
          <a:round/>
          <a:headEnd/>
          <a:tailEnd/>
        </a:ln>
      </xdr:spPr>
    </xdr:sp>
    <xdr:clientData/>
  </xdr:twoCellAnchor>
  <xdr:twoCellAnchor>
    <xdr:from>
      <xdr:col>4</xdr:col>
      <xdr:colOff>152400</xdr:colOff>
      <xdr:row>40</xdr:row>
      <xdr:rowOff>9525</xdr:rowOff>
    </xdr:from>
    <xdr:to>
      <xdr:col>4</xdr:col>
      <xdr:colOff>152400</xdr:colOff>
      <xdr:row>43</xdr:row>
      <xdr:rowOff>0</xdr:rowOff>
    </xdr:to>
    <xdr:sp macro="" textlink="">
      <xdr:nvSpPr>
        <xdr:cNvPr id="56776" name="Line 21">
          <a:extLst>
            <a:ext uri="{FF2B5EF4-FFF2-40B4-BE49-F238E27FC236}">
              <a16:creationId xmlns:a16="http://schemas.microsoft.com/office/drawing/2014/main" id="{00000000-0008-0000-0400-0000C8DD0000}"/>
            </a:ext>
          </a:extLst>
        </xdr:cNvPr>
        <xdr:cNvSpPr>
          <a:spLocks noChangeShapeType="1"/>
        </xdr:cNvSpPr>
      </xdr:nvSpPr>
      <xdr:spPr bwMode="auto">
        <a:xfrm>
          <a:off x="1638300" y="5676900"/>
          <a:ext cx="0" cy="476250"/>
        </a:xfrm>
        <a:prstGeom prst="line">
          <a:avLst/>
        </a:prstGeom>
        <a:noFill/>
        <a:ln w="19050">
          <a:solidFill>
            <a:srgbClr val="000000"/>
          </a:solidFill>
          <a:round/>
          <a:headEnd/>
          <a:tailEnd/>
        </a:ln>
      </xdr:spPr>
    </xdr:sp>
    <xdr:clientData/>
  </xdr:twoCellAnchor>
  <xdr:twoCellAnchor>
    <xdr:from>
      <xdr:col>5</xdr:col>
      <xdr:colOff>276225</xdr:colOff>
      <xdr:row>40</xdr:row>
      <xdr:rowOff>19050</xdr:rowOff>
    </xdr:from>
    <xdr:to>
      <xdr:col>5</xdr:col>
      <xdr:colOff>276225</xdr:colOff>
      <xdr:row>43</xdr:row>
      <xdr:rowOff>9525</xdr:rowOff>
    </xdr:to>
    <xdr:sp macro="" textlink="">
      <xdr:nvSpPr>
        <xdr:cNvPr id="56779" name="Line 24">
          <a:extLst>
            <a:ext uri="{FF2B5EF4-FFF2-40B4-BE49-F238E27FC236}">
              <a16:creationId xmlns:a16="http://schemas.microsoft.com/office/drawing/2014/main" id="{00000000-0008-0000-0400-0000CBDD0000}"/>
            </a:ext>
          </a:extLst>
        </xdr:cNvPr>
        <xdr:cNvSpPr>
          <a:spLocks noChangeShapeType="1"/>
        </xdr:cNvSpPr>
      </xdr:nvSpPr>
      <xdr:spPr bwMode="auto">
        <a:xfrm>
          <a:off x="2324100" y="5686425"/>
          <a:ext cx="0" cy="476250"/>
        </a:xfrm>
        <a:prstGeom prst="line">
          <a:avLst/>
        </a:prstGeom>
        <a:noFill/>
        <a:ln w="19050">
          <a:solidFill>
            <a:srgbClr val="000000"/>
          </a:solidFill>
          <a:round/>
          <a:headEnd/>
          <a:tailEnd/>
        </a:ln>
      </xdr:spPr>
    </xdr:sp>
    <xdr:clientData/>
  </xdr:twoCellAnchor>
  <xdr:twoCellAnchor>
    <xdr:from>
      <xdr:col>6</xdr:col>
      <xdr:colOff>276225</xdr:colOff>
      <xdr:row>40</xdr:row>
      <xdr:rowOff>19050</xdr:rowOff>
    </xdr:from>
    <xdr:to>
      <xdr:col>6</xdr:col>
      <xdr:colOff>276225</xdr:colOff>
      <xdr:row>43</xdr:row>
      <xdr:rowOff>9525</xdr:rowOff>
    </xdr:to>
    <xdr:sp macro="" textlink="">
      <xdr:nvSpPr>
        <xdr:cNvPr id="56780" name="Line 25">
          <a:extLst>
            <a:ext uri="{FF2B5EF4-FFF2-40B4-BE49-F238E27FC236}">
              <a16:creationId xmlns:a16="http://schemas.microsoft.com/office/drawing/2014/main" id="{00000000-0008-0000-0400-0000CCDD0000}"/>
            </a:ext>
          </a:extLst>
        </xdr:cNvPr>
        <xdr:cNvSpPr>
          <a:spLocks noChangeShapeType="1"/>
        </xdr:cNvSpPr>
      </xdr:nvSpPr>
      <xdr:spPr bwMode="auto">
        <a:xfrm>
          <a:off x="2933700" y="5686425"/>
          <a:ext cx="0" cy="476250"/>
        </a:xfrm>
        <a:prstGeom prst="line">
          <a:avLst/>
        </a:prstGeom>
        <a:noFill/>
        <a:ln w="19050">
          <a:solidFill>
            <a:srgbClr val="000000"/>
          </a:solidFill>
          <a:round/>
          <a:headEnd/>
          <a:tailEnd/>
        </a:ln>
      </xdr:spPr>
    </xdr:sp>
    <xdr:clientData/>
  </xdr:twoCellAnchor>
  <xdr:twoCellAnchor>
    <xdr:from>
      <xdr:col>7</xdr:col>
      <xdr:colOff>361950</xdr:colOff>
      <xdr:row>40</xdr:row>
      <xdr:rowOff>19050</xdr:rowOff>
    </xdr:from>
    <xdr:to>
      <xdr:col>7</xdr:col>
      <xdr:colOff>361950</xdr:colOff>
      <xdr:row>43</xdr:row>
      <xdr:rowOff>9525</xdr:rowOff>
    </xdr:to>
    <xdr:sp macro="" textlink="">
      <xdr:nvSpPr>
        <xdr:cNvPr id="56781" name="Line 26">
          <a:extLst>
            <a:ext uri="{FF2B5EF4-FFF2-40B4-BE49-F238E27FC236}">
              <a16:creationId xmlns:a16="http://schemas.microsoft.com/office/drawing/2014/main" id="{00000000-0008-0000-0400-0000CDDD0000}"/>
            </a:ext>
          </a:extLst>
        </xdr:cNvPr>
        <xdr:cNvSpPr>
          <a:spLocks noChangeShapeType="1"/>
        </xdr:cNvSpPr>
      </xdr:nvSpPr>
      <xdr:spPr bwMode="auto">
        <a:xfrm>
          <a:off x="3629025" y="5686425"/>
          <a:ext cx="0" cy="476250"/>
        </a:xfrm>
        <a:prstGeom prst="line">
          <a:avLst/>
        </a:prstGeom>
        <a:noFill/>
        <a:ln w="19050">
          <a:solidFill>
            <a:srgbClr val="000000"/>
          </a:solidFill>
          <a:round/>
          <a:headEnd/>
          <a:tailEnd/>
        </a:ln>
      </xdr:spPr>
    </xdr:sp>
    <xdr:clientData/>
  </xdr:twoCellAnchor>
  <xdr:twoCellAnchor>
    <xdr:from>
      <xdr:col>6</xdr:col>
      <xdr:colOff>333375</xdr:colOff>
      <xdr:row>17</xdr:row>
      <xdr:rowOff>57150</xdr:rowOff>
    </xdr:from>
    <xdr:to>
      <xdr:col>7</xdr:col>
      <xdr:colOff>257175</xdr:colOff>
      <xdr:row>20</xdr:row>
      <xdr:rowOff>114300</xdr:rowOff>
    </xdr:to>
    <xdr:sp macro="" textlink="">
      <xdr:nvSpPr>
        <xdr:cNvPr id="56782" name="Oval 27">
          <a:extLst>
            <a:ext uri="{FF2B5EF4-FFF2-40B4-BE49-F238E27FC236}">
              <a16:creationId xmlns:a16="http://schemas.microsoft.com/office/drawing/2014/main" id="{00000000-0008-0000-0400-0000CEDD0000}"/>
            </a:ext>
          </a:extLst>
        </xdr:cNvPr>
        <xdr:cNvSpPr>
          <a:spLocks noChangeArrowheads="1"/>
        </xdr:cNvSpPr>
      </xdr:nvSpPr>
      <xdr:spPr bwMode="auto">
        <a:xfrm>
          <a:off x="2990850" y="1981200"/>
          <a:ext cx="533400" cy="542925"/>
        </a:xfrm>
        <a:prstGeom prst="ellipse">
          <a:avLst/>
        </a:prstGeom>
        <a:no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23</xdr:row>
      <xdr:rowOff>28575</xdr:rowOff>
    </xdr:from>
    <xdr:to>
      <xdr:col>13</xdr:col>
      <xdr:colOff>600075</xdr:colOff>
      <xdr:row>55</xdr:row>
      <xdr:rowOff>142875</xdr:rowOff>
    </xdr:to>
    <xdr:graphicFrame macro="">
      <xdr:nvGraphicFramePr>
        <xdr:cNvPr id="1081" name="Chart 2">
          <a:extLst>
            <a:ext uri="{FF2B5EF4-FFF2-40B4-BE49-F238E27FC236}">
              <a16:creationId xmlns:a16="http://schemas.microsoft.com/office/drawing/2014/main" id="{00000000-0008-0000-0A00-00003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4</xdr:col>
          <xdr:colOff>501650</xdr:colOff>
          <xdr:row>17</xdr:row>
          <xdr:rowOff>114300</xdr:rowOff>
        </xdr:from>
        <xdr:to>
          <xdr:col>12</xdr:col>
          <xdr:colOff>184150</xdr:colOff>
          <xdr:row>21</xdr:row>
          <xdr:rowOff>63500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w="38100">
              <a:solidFill>
                <a:srgbClr val="333399"/>
              </a:solidFill>
              <a:miter lim="800000"/>
              <a:headEnd/>
              <a:tailEnd/>
            </a:ln>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SA29614\Documents\Sizing%20AccuSine\AccuSine+\AccuSine+%20Selection%20Tool%20Working%20141104%20R5%20r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VFD"/>
      <sheetName val="work page"/>
      <sheetName val="Selection Basics"/>
      <sheetName val="Instructions"/>
      <sheetName val="Electrical System 1-line"/>
      <sheetName val="AccuSine Sizing Tool"/>
      <sheetName val="Model Selector"/>
      <sheetName val="Mod Sel Calcs"/>
      <sheetName val="CT Selector"/>
      <sheetName val="Typical  TDD levels "/>
      <sheetName val="Sheet1"/>
    </sheetNames>
    <sheetDataSet>
      <sheetData sheetId="0" refreshError="1"/>
      <sheetData sheetId="1" refreshError="1">
        <row r="17">
          <cell r="G17" t="str">
            <v>KW</v>
          </cell>
        </row>
        <row r="18">
          <cell r="G18" t="str">
            <v>HP</v>
          </cell>
        </row>
        <row r="19">
          <cell r="G19" t="str">
            <v>KVA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image" Target="../media/image5.emf"/><Relationship Id="rId5" Type="http://schemas.openxmlformats.org/officeDocument/2006/relationships/oleObject" Target="../embeddings/oleObject1.bin"/><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116"/>
  <sheetViews>
    <sheetView workbookViewId="0">
      <selection activeCell="AE7" sqref="AE7"/>
    </sheetView>
  </sheetViews>
  <sheetFormatPr defaultRowHeight="12.5" x14ac:dyDescent="0.25"/>
  <cols>
    <col min="1" max="1" width="15" customWidth="1"/>
    <col min="2" max="2" width="12.90625" customWidth="1"/>
    <col min="6" max="6" width="10.36328125" bestFit="1" customWidth="1"/>
    <col min="7" max="7" width="10.08984375" bestFit="1" customWidth="1"/>
    <col min="14" max="14" width="9.36328125" bestFit="1" customWidth="1"/>
    <col min="18" max="18" width="9.36328125" bestFit="1" customWidth="1"/>
    <col min="22" max="22" width="9.36328125" bestFit="1" customWidth="1"/>
    <col min="26" max="26" width="9.36328125" bestFit="1" customWidth="1"/>
    <col min="29" max="29" width="9.36328125" bestFit="1" customWidth="1"/>
    <col min="32" max="32" width="9.08984375" style="4"/>
  </cols>
  <sheetData>
    <row r="1" spans="1:32" x14ac:dyDescent="0.25">
      <c r="A1" t="s">
        <v>13</v>
      </c>
      <c r="G1" s="1">
        <v>40219</v>
      </c>
    </row>
    <row r="3" spans="1:32" x14ac:dyDescent="0.25">
      <c r="A3" t="s">
        <v>14</v>
      </c>
    </row>
    <row r="4" spans="1:32" x14ac:dyDescent="0.25">
      <c r="A4" t="s">
        <v>15</v>
      </c>
      <c r="E4" t="s">
        <v>19</v>
      </c>
      <c r="I4" t="s">
        <v>20</v>
      </c>
      <c r="M4" t="s">
        <v>21</v>
      </c>
      <c r="Q4" t="s">
        <v>22</v>
      </c>
      <c r="U4" t="s">
        <v>23</v>
      </c>
      <c r="Y4" t="s">
        <v>24</v>
      </c>
      <c r="AB4" t="s">
        <v>25</v>
      </c>
      <c r="AF4" s="4" t="s">
        <v>26</v>
      </c>
    </row>
    <row r="5" spans="1:32" x14ac:dyDescent="0.25">
      <c r="A5" s="2" t="s">
        <v>16</v>
      </c>
      <c r="B5" s="5">
        <f>1500/0.48/3^0.5/0.0575/12</f>
        <v>2614.8110017646095</v>
      </c>
      <c r="E5" s="2" t="s">
        <v>16</v>
      </c>
      <c r="F5" s="5">
        <f>3000/0.48/3^0.5/0.0575/23.2</f>
        <v>2704.9768983771824</v>
      </c>
      <c r="I5" s="2" t="s">
        <v>16</v>
      </c>
      <c r="J5">
        <f>4500/0.48/3^0.5/0.0575/30.37</f>
        <v>3099.5454745974957</v>
      </c>
      <c r="M5" s="2" t="s">
        <v>16</v>
      </c>
      <c r="N5">
        <f>9000/0.48/3^0.5/0.0575/73.37</f>
        <v>2565.9859905554299</v>
      </c>
      <c r="Q5" s="2" t="s">
        <v>16</v>
      </c>
      <c r="R5">
        <f>15000/0.48/3^0.5/0.0575/120.5</f>
        <v>2603.9611635830133</v>
      </c>
      <c r="U5" s="2" t="s">
        <v>16</v>
      </c>
      <c r="V5">
        <f>35000/0.48/3^0.5/0.0575/259.15</f>
        <v>2825.1864962148984</v>
      </c>
      <c r="Y5" s="2" t="s">
        <v>16</v>
      </c>
      <c r="Z5">
        <f>50000/0.48/3^0.5/0.0575/410.45</f>
        <v>2548.238276783637</v>
      </c>
      <c r="AB5" s="2" t="s">
        <v>16</v>
      </c>
      <c r="AC5">
        <f>90000/0.48/3^0.5/0.0575/739.26</f>
        <v>2546.6871212706205</v>
      </c>
      <c r="AF5" s="4" t="s">
        <v>27</v>
      </c>
    </row>
    <row r="6" spans="1:32" x14ac:dyDescent="0.25">
      <c r="A6" s="3" t="s">
        <v>17</v>
      </c>
      <c r="B6" s="3" t="s">
        <v>18</v>
      </c>
      <c r="E6" s="3" t="s">
        <v>17</v>
      </c>
      <c r="F6" s="3" t="s">
        <v>18</v>
      </c>
      <c r="I6" s="3" t="s">
        <v>17</v>
      </c>
      <c r="J6" s="3" t="s">
        <v>18</v>
      </c>
      <c r="M6" s="3" t="s">
        <v>17</v>
      </c>
      <c r="N6" s="3" t="s">
        <v>18</v>
      </c>
      <c r="Q6" s="3" t="s">
        <v>17</v>
      </c>
      <c r="R6" s="3" t="s">
        <v>18</v>
      </c>
      <c r="U6" s="3" t="s">
        <v>17</v>
      </c>
      <c r="V6" s="3" t="s">
        <v>18</v>
      </c>
      <c r="Y6" s="3" t="s">
        <v>17</v>
      </c>
      <c r="Z6" s="3" t="s">
        <v>18</v>
      </c>
      <c r="AB6" s="3" t="s">
        <v>17</v>
      </c>
      <c r="AC6" s="3" t="s">
        <v>18</v>
      </c>
    </row>
    <row r="7" spans="1:32" x14ac:dyDescent="0.25">
      <c r="A7" s="4">
        <v>0</v>
      </c>
      <c r="B7" s="4">
        <v>1.8520000000000001</v>
      </c>
      <c r="E7" s="4">
        <v>0</v>
      </c>
      <c r="F7" s="4">
        <v>1.8431</v>
      </c>
      <c r="I7" s="4">
        <v>0</v>
      </c>
      <c r="M7" s="4">
        <v>0</v>
      </c>
      <c r="AE7" s="4">
        <f>AVERAGE(A7,E7)</f>
        <v>0</v>
      </c>
      <c r="AF7" s="4">
        <f>AVERAGE(B7,F7)</f>
        <v>1.84755</v>
      </c>
    </row>
    <row r="8" spans="1:32" x14ac:dyDescent="0.25">
      <c r="A8" s="4"/>
      <c r="B8" s="4"/>
      <c r="E8" s="4"/>
      <c r="F8" s="4"/>
      <c r="I8" s="4">
        <v>1.35E-2</v>
      </c>
      <c r="J8" s="4">
        <v>0.59419999999999995</v>
      </c>
      <c r="M8" s="4">
        <v>9.5999999999999992E-3</v>
      </c>
      <c r="N8" s="4">
        <v>0.66969999999999996</v>
      </c>
      <c r="Q8" s="4">
        <v>1.06E-2</v>
      </c>
      <c r="R8" s="4">
        <v>0.64769999999999994</v>
      </c>
      <c r="AE8" s="4">
        <f>AVERAGE(Q8,M8,I8)</f>
        <v>1.1233333333333333E-2</v>
      </c>
      <c r="AF8" s="4">
        <f>AVERAGE(R8,N8,J8)</f>
        <v>0.63719999999999999</v>
      </c>
    </row>
    <row r="9" spans="1:32" x14ac:dyDescent="0.25">
      <c r="A9" s="4">
        <v>1.4999999999999999E-2</v>
      </c>
      <c r="B9" s="4">
        <v>0.51239999999999997</v>
      </c>
      <c r="E9" s="4">
        <v>1.4999999999999999E-2</v>
      </c>
      <c r="F9" s="4">
        <v>0.5222</v>
      </c>
      <c r="I9" s="4">
        <v>1.4999999999999999E-2</v>
      </c>
      <c r="M9" s="4">
        <v>1.4999999999999999E-2</v>
      </c>
      <c r="AE9" s="4">
        <f>AVERAGE(A9,E9)</f>
        <v>1.4999999999999999E-2</v>
      </c>
      <c r="AF9" s="4">
        <f>AVERAGE(B9,F9)</f>
        <v>0.51729999999999998</v>
      </c>
    </row>
    <row r="10" spans="1:32" x14ac:dyDescent="0.25">
      <c r="A10" s="4"/>
      <c r="B10" s="4"/>
      <c r="E10" s="4"/>
      <c r="F10" s="4"/>
      <c r="I10" s="4">
        <v>2.8500000000000001E-2</v>
      </c>
      <c r="J10" s="4">
        <v>0.376</v>
      </c>
      <c r="M10" s="4">
        <v>2.46E-2</v>
      </c>
      <c r="N10" s="4">
        <v>0.41010000000000002</v>
      </c>
      <c r="Q10" s="4">
        <v>2.5600000000000001E-2</v>
      </c>
      <c r="R10" s="4">
        <v>0.40210000000000001</v>
      </c>
      <c r="U10" s="4">
        <v>2.9600000000000001E-2</v>
      </c>
      <c r="V10" s="4">
        <v>0.34789999999999999</v>
      </c>
      <c r="AB10" s="4">
        <v>2.24E-2</v>
      </c>
      <c r="AC10" s="4">
        <v>0.43190000000000001</v>
      </c>
      <c r="AE10" s="4">
        <f>AVERAGE(I10,M10,Q10,U10,AB10)</f>
        <v>2.6140000000000004E-2</v>
      </c>
      <c r="AF10" s="4">
        <f>AVERAGE(J10,N10,R10,V10,AC10)</f>
        <v>0.39360000000000006</v>
      </c>
    </row>
    <row r="11" spans="1:32" x14ac:dyDescent="0.25">
      <c r="A11" s="4">
        <v>0.03</v>
      </c>
      <c r="B11" s="4">
        <v>0.3327</v>
      </c>
      <c r="E11" s="4">
        <v>0.03</v>
      </c>
      <c r="F11" s="4">
        <v>0.34020000000000006</v>
      </c>
      <c r="I11" s="4">
        <v>0.03</v>
      </c>
      <c r="M11" s="4">
        <v>0.03</v>
      </c>
      <c r="Y11" s="4">
        <v>3.2599999999999997E-2</v>
      </c>
      <c r="Z11" s="4">
        <v>0.34620000000000001</v>
      </c>
      <c r="AE11" s="4">
        <f>AVERAGE(A11,E11,Y11)</f>
        <v>3.0866666666666664E-2</v>
      </c>
      <c r="AF11" s="4">
        <f>AVERAGE(B11,F11,Z11)</f>
        <v>0.33970000000000006</v>
      </c>
    </row>
    <row r="12" spans="1:32" x14ac:dyDescent="0.25">
      <c r="A12" s="4"/>
      <c r="B12" s="4"/>
      <c r="E12" s="4"/>
      <c r="F12" s="4"/>
      <c r="I12" s="4">
        <v>4.3499999999999997E-2</v>
      </c>
      <c r="J12" s="4">
        <v>0.27310000000000001</v>
      </c>
      <c r="M12" s="4">
        <v>3.9600000000000003E-2</v>
      </c>
      <c r="N12" s="4">
        <v>0.29309999999999997</v>
      </c>
      <c r="Q12" s="4">
        <v>4.0599999999999997E-2</v>
      </c>
      <c r="R12" s="4">
        <v>0.28920000000000001</v>
      </c>
      <c r="U12" s="4">
        <v>4.4600000000000001E-2</v>
      </c>
      <c r="V12" s="4">
        <v>0.26069999999999999</v>
      </c>
      <c r="Y12" s="4">
        <v>4.7600000000000003E-2</v>
      </c>
      <c r="Z12" s="4">
        <v>0.2596</v>
      </c>
      <c r="AB12" s="4">
        <v>3.7400000000000003E-2</v>
      </c>
      <c r="AC12" s="4">
        <v>0.30579999999999996</v>
      </c>
      <c r="AE12" s="4">
        <f>AVERAGE(I12,M12,Q12,U12,Y12,AB12)</f>
        <v>4.2216666666666673E-2</v>
      </c>
      <c r="AF12" s="4">
        <f>AVERAGE(J12,N12,R12,V12,Z12,AC12)</f>
        <v>0.28025000000000005</v>
      </c>
    </row>
    <row r="13" spans="1:32" x14ac:dyDescent="0.25">
      <c r="A13" s="4">
        <v>0.05</v>
      </c>
      <c r="B13" s="4">
        <v>0.22720000000000001</v>
      </c>
      <c r="E13" s="4">
        <v>0.05</v>
      </c>
      <c r="F13" s="4">
        <v>0.23269999999999999</v>
      </c>
      <c r="I13" s="4">
        <v>0.05</v>
      </c>
      <c r="M13" s="4">
        <v>0.05</v>
      </c>
      <c r="AE13" s="4">
        <f>AVERAGE(A13,E13)</f>
        <v>0.05</v>
      </c>
      <c r="AF13" s="4">
        <f>AVERAGE(B13,F13)</f>
        <v>0.22994999999999999</v>
      </c>
    </row>
    <row r="14" spans="1:32" x14ac:dyDescent="0.25">
      <c r="A14" s="4"/>
      <c r="B14" s="4"/>
      <c r="E14" s="4"/>
      <c r="F14" s="4"/>
      <c r="I14" s="4">
        <v>6.3500000000000001E-2</v>
      </c>
      <c r="J14" s="4">
        <v>0.20100000000000001</v>
      </c>
      <c r="M14" s="4">
        <v>5.96E-2</v>
      </c>
      <c r="N14" s="4">
        <v>0.21309999999999998</v>
      </c>
      <c r="Q14" s="4">
        <v>6.0600000000000001E-2</v>
      </c>
      <c r="R14" s="4">
        <v>0.21109999999999998</v>
      </c>
      <c r="U14" s="4">
        <v>5.96E-2</v>
      </c>
      <c r="V14" s="4">
        <v>0.20899999999999999</v>
      </c>
      <c r="Y14" s="4">
        <v>6.2600000000000003E-2</v>
      </c>
      <c r="Z14" s="4">
        <v>0.20829999999999999</v>
      </c>
      <c r="AB14" s="4">
        <v>5.2400000000000002E-2</v>
      </c>
      <c r="AC14" s="4">
        <v>0.23719999999999999</v>
      </c>
      <c r="AE14" s="4">
        <f>AVERAGE(I14,M14,Q14,U14,Y14,AB14)</f>
        <v>5.9716666666666668E-2</v>
      </c>
      <c r="AF14" s="4">
        <f>AVERAGE(J14,N14,R14,V14,Z14,AC14)</f>
        <v>0.21328333333333335</v>
      </c>
    </row>
    <row r="15" spans="1:32" x14ac:dyDescent="0.25">
      <c r="A15" s="4">
        <v>7.4999999999999997E-2</v>
      </c>
      <c r="B15" s="4">
        <v>0.16300000000000001</v>
      </c>
      <c r="E15" s="4">
        <v>7.4999999999999997E-2</v>
      </c>
      <c r="F15" s="4">
        <v>0.1673</v>
      </c>
      <c r="I15" s="4">
        <v>7.4999999999999997E-2</v>
      </c>
      <c r="M15" s="4">
        <v>7.4999999999999997E-2</v>
      </c>
      <c r="AB15" s="4">
        <v>7.2400000000000006E-2</v>
      </c>
      <c r="AC15" s="4">
        <v>0.18329999999999999</v>
      </c>
      <c r="AE15" s="4">
        <f>AVERAGE(A15,E15,AB15)</f>
        <v>7.4133333333333329E-2</v>
      </c>
      <c r="AF15" s="4">
        <f>AVERAGE(B15,F15,AC15)</f>
        <v>0.17120000000000002</v>
      </c>
    </row>
    <row r="16" spans="1:32" x14ac:dyDescent="0.25">
      <c r="I16" s="4">
        <v>8.8499999999999995E-2</v>
      </c>
      <c r="J16" s="4">
        <v>0.1525</v>
      </c>
      <c r="M16" s="4">
        <v>8.4599999999999995E-2</v>
      </c>
      <c r="N16" s="4">
        <v>0.15970000000000001</v>
      </c>
      <c r="Q16" s="4">
        <v>8.5599999999999996E-2</v>
      </c>
      <c r="R16" s="4">
        <v>0.1588</v>
      </c>
      <c r="U16" s="4">
        <v>7.9600000000000004E-2</v>
      </c>
      <c r="V16" s="4">
        <v>0.16620000000000001</v>
      </c>
      <c r="Y16" s="4">
        <v>8.2600000000000007E-2</v>
      </c>
      <c r="Z16" s="4">
        <v>0.16589999999999999</v>
      </c>
      <c r="AE16" s="4">
        <f>AVERAGE(I16,M16,Q16,U16,Y16)</f>
        <v>8.4180000000000005E-2</v>
      </c>
      <c r="AF16" s="4">
        <f>AVERAGE(J16,N16,R16,V16,Z16)</f>
        <v>0.16061999999999999</v>
      </c>
    </row>
    <row r="17" spans="1:32" x14ac:dyDescent="0.25">
      <c r="I17" s="4"/>
      <c r="J17" s="4"/>
      <c r="M17" s="4"/>
      <c r="N17" s="4"/>
      <c r="Q17" s="4"/>
      <c r="R17" s="4"/>
      <c r="U17" s="4"/>
      <c r="V17" s="4"/>
      <c r="Y17" s="4"/>
      <c r="Z17" s="4"/>
    </row>
    <row r="18" spans="1:32" x14ac:dyDescent="0.25">
      <c r="A18" t="s">
        <v>15</v>
      </c>
      <c r="E18" t="s">
        <v>19</v>
      </c>
      <c r="I18" t="s">
        <v>20</v>
      </c>
      <c r="M18" t="s">
        <v>21</v>
      </c>
      <c r="Q18" t="s">
        <v>22</v>
      </c>
      <c r="U18" t="s">
        <v>23</v>
      </c>
      <c r="Y18" t="s">
        <v>24</v>
      </c>
      <c r="AB18" t="s">
        <v>25</v>
      </c>
      <c r="AF18" s="4" t="s">
        <v>26</v>
      </c>
    </row>
    <row r="19" spans="1:32" x14ac:dyDescent="0.25">
      <c r="A19" s="2" t="s">
        <v>16</v>
      </c>
      <c r="B19" s="5">
        <f>300/0.48/3^0.5/0.0575/6.2</f>
        <v>1012.184903908881</v>
      </c>
      <c r="E19" s="2" t="s">
        <v>16</v>
      </c>
      <c r="F19" s="5">
        <f>900/0.48/3^0.5/0.0575/18.44</f>
        <v>1020.9674193440991</v>
      </c>
      <c r="I19" s="2" t="s">
        <v>16</v>
      </c>
      <c r="J19">
        <f>1700/0.48/3^0.5/0.0575/35.37</f>
        <v>1005.4122031099431</v>
      </c>
      <c r="M19" s="2" t="s">
        <v>16</v>
      </c>
      <c r="N19">
        <f>3300/0.48/3^0.5/0.0575/73.37</f>
        <v>940.86152987032415</v>
      </c>
      <c r="Q19" s="2" t="s">
        <v>16</v>
      </c>
      <c r="R19">
        <f>5600/0.48/3^0.5/0.0575/120.5</f>
        <v>972.14550107099183</v>
      </c>
      <c r="U19" s="2" t="s">
        <v>16</v>
      </c>
      <c r="V19">
        <f>12000/0.48/3^0.5/0.0575/259.15</f>
        <v>968.63537013082203</v>
      </c>
      <c r="Y19" s="2" t="s">
        <v>16</v>
      </c>
      <c r="Z19">
        <f>20000/0.48/3^0.5/0.0575/410.45</f>
        <v>1019.295310713455</v>
      </c>
      <c r="AB19" s="2" t="s">
        <v>16</v>
      </c>
      <c r="AC19">
        <f>35000/0.48/3^0.5/0.0575/739.26</f>
        <v>990.37832493857479</v>
      </c>
      <c r="AF19" s="4" t="s">
        <v>33</v>
      </c>
    </row>
    <row r="20" spans="1:32" x14ac:dyDescent="0.25">
      <c r="A20" s="3" t="s">
        <v>17</v>
      </c>
      <c r="B20" s="3" t="s">
        <v>18</v>
      </c>
      <c r="E20" s="3" t="s">
        <v>17</v>
      </c>
      <c r="F20" s="3" t="s">
        <v>18</v>
      </c>
      <c r="I20" s="3" t="s">
        <v>17</v>
      </c>
      <c r="J20" s="3" t="s">
        <v>18</v>
      </c>
      <c r="M20" s="3" t="s">
        <v>17</v>
      </c>
      <c r="N20" s="3" t="s">
        <v>18</v>
      </c>
      <c r="Q20" s="3" t="s">
        <v>17</v>
      </c>
      <c r="R20" s="3" t="s">
        <v>18</v>
      </c>
      <c r="U20" s="3" t="s">
        <v>17</v>
      </c>
      <c r="V20" s="3" t="s">
        <v>18</v>
      </c>
      <c r="Y20" s="3" t="s">
        <v>17</v>
      </c>
      <c r="Z20" s="3" t="s">
        <v>18</v>
      </c>
      <c r="AB20" s="3" t="s">
        <v>17</v>
      </c>
      <c r="AC20" s="3" t="s">
        <v>18</v>
      </c>
    </row>
    <row r="21" spans="1:32" x14ac:dyDescent="0.25">
      <c r="A21" s="4">
        <v>0</v>
      </c>
      <c r="B21" s="4">
        <v>1.327</v>
      </c>
      <c r="E21" s="4">
        <v>0</v>
      </c>
      <c r="F21" s="4">
        <v>1.4551000000000001</v>
      </c>
      <c r="I21" s="4">
        <v>0</v>
      </c>
      <c r="M21" s="4">
        <v>0</v>
      </c>
      <c r="AF21" s="4">
        <f>AVERAGE(B21,F21)</f>
        <v>1.3910499999999999</v>
      </c>
    </row>
    <row r="22" spans="1:32" x14ac:dyDescent="0.25">
      <c r="A22" s="4"/>
      <c r="B22" s="4"/>
      <c r="E22" s="4"/>
      <c r="F22" s="4"/>
      <c r="I22" s="4">
        <v>1.35E-2</v>
      </c>
      <c r="J22" s="4">
        <v>0.5786</v>
      </c>
      <c r="M22" s="4">
        <v>9.5999999999999992E-3</v>
      </c>
      <c r="N22" s="4">
        <v>0.65639999999999998</v>
      </c>
      <c r="Q22" s="4">
        <v>1.06E-2</v>
      </c>
      <c r="R22" s="4">
        <v>0.63560000000000005</v>
      </c>
      <c r="AF22" s="4">
        <f>AVERAGE(R22,N22,J22)</f>
        <v>0.62353333333333338</v>
      </c>
    </row>
    <row r="23" spans="1:32" x14ac:dyDescent="0.25">
      <c r="A23" s="4">
        <v>1.4999999999999999E-2</v>
      </c>
      <c r="B23" s="4">
        <v>0.50190000000000001</v>
      </c>
      <c r="E23" s="4">
        <v>1.4999999999999999E-2</v>
      </c>
      <c r="F23" s="4">
        <v>0.51559999999999995</v>
      </c>
      <c r="I23" s="4">
        <v>1.4999999999999999E-2</v>
      </c>
      <c r="M23" s="4">
        <v>1.4999999999999999E-2</v>
      </c>
      <c r="AF23" s="4">
        <f>AVERAGE(B23,F23)</f>
        <v>0.50875000000000004</v>
      </c>
    </row>
    <row r="24" spans="1:32" x14ac:dyDescent="0.25">
      <c r="A24" s="4"/>
      <c r="B24" s="4"/>
      <c r="E24" s="4"/>
      <c r="F24" s="4"/>
      <c r="I24" s="4">
        <v>2.8500000000000001E-2</v>
      </c>
      <c r="J24" s="4">
        <v>0.36859999999999998</v>
      </c>
      <c r="M24" s="4">
        <v>2.46E-2</v>
      </c>
      <c r="N24" s="4">
        <v>0.40429999999999999</v>
      </c>
      <c r="Q24" s="4">
        <v>2.5600000000000001E-2</v>
      </c>
      <c r="R24" s="4">
        <v>0.39700000000000002</v>
      </c>
      <c r="U24" s="4">
        <v>2.9600000000000001E-2</v>
      </c>
      <c r="V24" s="4">
        <v>0.36649999999999999</v>
      </c>
      <c r="AB24" s="4">
        <v>2.24E-2</v>
      </c>
      <c r="AC24" s="4">
        <v>0.42559999999999998</v>
      </c>
      <c r="AF24" s="4">
        <f>AVERAGE(J24,N24,R24,V24,AC24)</f>
        <v>0.39239999999999997</v>
      </c>
    </row>
    <row r="25" spans="1:32" x14ac:dyDescent="0.25">
      <c r="A25" s="4">
        <v>0.03</v>
      </c>
      <c r="B25" s="4">
        <v>0.3281</v>
      </c>
      <c r="E25" s="4">
        <v>0.03</v>
      </c>
      <c r="F25" s="4">
        <v>0.33739999999999998</v>
      </c>
      <c r="I25" s="4">
        <v>0.03</v>
      </c>
      <c r="M25" s="4">
        <v>0.03</v>
      </c>
      <c r="Y25" s="4">
        <v>3.2599999999999997E-2</v>
      </c>
      <c r="Z25" s="4">
        <v>0.34210000000000002</v>
      </c>
      <c r="AF25" s="4">
        <f>AVERAGE(B25,F25,Z25)</f>
        <v>0.3358666666666667</v>
      </c>
    </row>
    <row r="26" spans="1:32" x14ac:dyDescent="0.25">
      <c r="A26" s="4"/>
      <c r="B26" s="4"/>
      <c r="E26" s="4"/>
      <c r="F26" s="4"/>
      <c r="I26" s="4">
        <v>4.3499999999999997E-2</v>
      </c>
      <c r="J26" s="4">
        <v>0.26919999999999999</v>
      </c>
      <c r="M26" s="4">
        <v>3.9600000000000003E-2</v>
      </c>
      <c r="N26" s="4">
        <v>0.2903</v>
      </c>
      <c r="Q26" s="4">
        <v>4.0599999999999997E-2</v>
      </c>
      <c r="R26" s="4">
        <v>0.28639999999999999</v>
      </c>
      <c r="U26" s="4">
        <v>4.4600000000000001E-2</v>
      </c>
      <c r="V26" s="4">
        <v>0.2712</v>
      </c>
      <c r="Y26" s="4">
        <v>4.7600000000000003E-2</v>
      </c>
      <c r="Z26" s="4">
        <v>0.25719999999999998</v>
      </c>
      <c r="AB26" s="4">
        <v>3.7400000000000003E-2</v>
      </c>
      <c r="AC26" s="4">
        <v>0.30259999999999998</v>
      </c>
      <c r="AF26" s="4">
        <f>AVERAGE(J26,N26,R26,V26,Z26,AC26)</f>
        <v>0.27948333333333331</v>
      </c>
    </row>
    <row r="27" spans="1:32" x14ac:dyDescent="0.25">
      <c r="A27" s="4">
        <v>0.05</v>
      </c>
      <c r="B27" s="4">
        <v>0.22489999999999999</v>
      </c>
      <c r="E27" s="4">
        <v>0.05</v>
      </c>
      <c r="F27" s="4">
        <v>0.23139999999999999</v>
      </c>
      <c r="I27" s="4">
        <v>0.05</v>
      </c>
      <c r="M27" s="4">
        <v>0.05</v>
      </c>
      <c r="AF27" s="4">
        <f>AVERAGE(B27,F27)</f>
        <v>0.22814999999999999</v>
      </c>
    </row>
    <row r="28" spans="1:32" x14ac:dyDescent="0.25">
      <c r="A28" s="4"/>
      <c r="B28" s="4"/>
      <c r="E28" s="4"/>
      <c r="F28" s="4"/>
      <c r="I28" s="4">
        <v>6.3500000000000001E-2</v>
      </c>
      <c r="J28" s="4">
        <v>0.19889999999999999</v>
      </c>
      <c r="M28" s="4">
        <v>5.96E-2</v>
      </c>
      <c r="N28" s="4">
        <v>0.21149999999999999</v>
      </c>
      <c r="Q28" s="4">
        <v>6.0600000000000001E-2</v>
      </c>
      <c r="R28" s="4">
        <v>0.20960000000000001</v>
      </c>
      <c r="U28" s="4">
        <v>5.96E-2</v>
      </c>
      <c r="V28" s="4">
        <v>0.21579999999999999</v>
      </c>
      <c r="Y28" s="4">
        <v>6.2600000000000003E-2</v>
      </c>
      <c r="Z28" s="4">
        <v>0.20660000000000001</v>
      </c>
      <c r="AB28" s="4">
        <v>5.2400000000000002E-2</v>
      </c>
      <c r="AC28" s="4">
        <v>0.23530000000000001</v>
      </c>
      <c r="AF28" s="4">
        <f>AVERAGE(J28,N28,R28,V28,Z28,AC28)</f>
        <v>0.21295</v>
      </c>
    </row>
    <row r="29" spans="1:32" x14ac:dyDescent="0.25">
      <c r="A29" s="4">
        <v>7.4999999999999997E-2</v>
      </c>
      <c r="B29" s="4">
        <v>0.16189999999999999</v>
      </c>
      <c r="E29" s="4">
        <v>7.4999999999999997E-2</v>
      </c>
      <c r="F29" s="4">
        <v>0.1666</v>
      </c>
      <c r="I29" s="4">
        <v>7.4999999999999997E-2</v>
      </c>
      <c r="M29" s="4">
        <v>7.4999999999999997E-2</v>
      </c>
      <c r="AB29" s="4">
        <v>7.2400000000000006E-2</v>
      </c>
      <c r="AC29" s="4">
        <v>0.1822</v>
      </c>
      <c r="AF29" s="4">
        <f>AVERAGE(B29,F29,AC29)</f>
        <v>0.17023333333333335</v>
      </c>
    </row>
    <row r="30" spans="1:32" x14ac:dyDescent="0.25">
      <c r="I30" s="4">
        <v>8.8499999999999995E-2</v>
      </c>
      <c r="J30" s="4">
        <v>0.15140000000000001</v>
      </c>
      <c r="M30" s="4">
        <v>8.4599999999999995E-2</v>
      </c>
      <c r="N30" s="4">
        <v>0.1588</v>
      </c>
      <c r="Q30" s="4">
        <v>8.5599999999999996E-2</v>
      </c>
      <c r="R30" s="4">
        <v>0.158</v>
      </c>
      <c r="U30" s="4">
        <v>7.9600000000000004E-2</v>
      </c>
      <c r="V30" s="4">
        <v>0.17050000000000001</v>
      </c>
      <c r="Y30" s="4">
        <v>8.2600000000000007E-2</v>
      </c>
      <c r="Z30" s="4">
        <v>0.16489999999999999</v>
      </c>
      <c r="AF30" s="4">
        <f>AVERAGE(J30,N30,R30,V30,Z30)</f>
        <v>0.16072000000000003</v>
      </c>
    </row>
    <row r="31" spans="1:32" x14ac:dyDescent="0.25">
      <c r="I31" s="4"/>
      <c r="J31" s="4"/>
      <c r="M31" s="4"/>
      <c r="N31" s="4"/>
      <c r="Q31" s="4"/>
      <c r="R31" s="4"/>
      <c r="U31" s="4"/>
      <c r="V31" s="4"/>
      <c r="Y31" s="4"/>
      <c r="Z31" s="4"/>
    </row>
    <row r="32" spans="1:32" x14ac:dyDescent="0.25">
      <c r="A32" t="s">
        <v>15</v>
      </c>
      <c r="E32" t="s">
        <v>19</v>
      </c>
      <c r="I32" t="s">
        <v>20</v>
      </c>
      <c r="M32" t="s">
        <v>21</v>
      </c>
      <c r="Q32" t="s">
        <v>22</v>
      </c>
      <c r="U32" t="s">
        <v>23</v>
      </c>
      <c r="Y32" t="s">
        <v>24</v>
      </c>
      <c r="AB32" t="s">
        <v>25</v>
      </c>
      <c r="AF32" s="4" t="s">
        <v>26</v>
      </c>
    </row>
    <row r="33" spans="1:32" x14ac:dyDescent="0.25">
      <c r="A33" s="2" t="s">
        <v>16</v>
      </c>
      <c r="B33" s="5">
        <f>200/0.48/3^0.5/0.0575/8.6</f>
        <v>486.47646544457859</v>
      </c>
      <c r="E33" s="2" t="s">
        <v>16</v>
      </c>
      <c r="F33" s="5">
        <f>450/0.48/3^0.5/0.0575/18.44</f>
        <v>510.48370967204954</v>
      </c>
      <c r="I33" s="2" t="s">
        <v>16</v>
      </c>
      <c r="J33">
        <f>800/0.48/3^0.5/0.0575/35.37</f>
        <v>473.13515440467921</v>
      </c>
      <c r="M33" s="2" t="s">
        <v>16</v>
      </c>
      <c r="N33">
        <f>1700/0.48/3^0.5/0.0575/73.37</f>
        <v>484.68624266046999</v>
      </c>
      <c r="Q33" s="2" t="s">
        <v>16</v>
      </c>
      <c r="R33">
        <f>2900/0.48/3^0.5/0.0575/120.5</f>
        <v>503.43249162604928</v>
      </c>
      <c r="U33" s="2" t="s">
        <v>16</v>
      </c>
      <c r="V33">
        <f>6000/0.48/3^0.5/0.0575/259.15</f>
        <v>484.31768506541101</v>
      </c>
      <c r="Y33" s="2" t="s">
        <v>16</v>
      </c>
      <c r="Z33">
        <f>10000/0.48/3^0.5/0.0575/410.45</f>
        <v>509.64765535672751</v>
      </c>
      <c r="AB33" s="2" t="s">
        <v>16</v>
      </c>
      <c r="AC33">
        <f>18000/0.48/3^0.5/0.0575/739.26</f>
        <v>509.33742425412413</v>
      </c>
      <c r="AF33" s="4" t="s">
        <v>34</v>
      </c>
    </row>
    <row r="34" spans="1:32" x14ac:dyDescent="0.25">
      <c r="A34" s="3" t="s">
        <v>17</v>
      </c>
      <c r="B34" s="3" t="s">
        <v>18</v>
      </c>
      <c r="E34" s="3" t="s">
        <v>17</v>
      </c>
      <c r="F34" s="3" t="s">
        <v>18</v>
      </c>
      <c r="I34" s="3" t="s">
        <v>17</v>
      </c>
      <c r="J34" s="3" t="s">
        <v>18</v>
      </c>
      <c r="M34" s="3" t="s">
        <v>17</v>
      </c>
      <c r="N34" s="3" t="s">
        <v>18</v>
      </c>
      <c r="Q34" s="3" t="s">
        <v>17</v>
      </c>
      <c r="R34" s="3" t="s">
        <v>18</v>
      </c>
      <c r="U34" s="3" t="s">
        <v>17</v>
      </c>
      <c r="V34" s="3" t="s">
        <v>18</v>
      </c>
      <c r="Y34" s="3" t="s">
        <v>17</v>
      </c>
      <c r="Z34" s="3" t="s">
        <v>18</v>
      </c>
      <c r="AB34" s="3" t="s">
        <v>17</v>
      </c>
      <c r="AC34" s="3" t="s">
        <v>18</v>
      </c>
    </row>
    <row r="35" spans="1:32" x14ac:dyDescent="0.25">
      <c r="A35" s="4">
        <v>0</v>
      </c>
      <c r="B35" s="4">
        <v>1.2110000000000001</v>
      </c>
      <c r="E35" s="4">
        <v>0</v>
      </c>
      <c r="F35" s="4">
        <v>1.2527999999999999</v>
      </c>
      <c r="I35" s="4">
        <v>0</v>
      </c>
      <c r="M35" s="4">
        <v>0</v>
      </c>
      <c r="AF35" s="4">
        <f>AVERAGE(B35,F35)</f>
        <v>1.2319</v>
      </c>
    </row>
    <row r="36" spans="1:32" x14ac:dyDescent="0.25">
      <c r="A36" s="4"/>
      <c r="B36" s="4"/>
      <c r="E36" s="4"/>
      <c r="F36" s="4"/>
      <c r="I36" s="4">
        <v>1.35E-2</v>
      </c>
      <c r="J36" s="4">
        <v>0.56299999999999994</v>
      </c>
      <c r="M36" s="4">
        <v>9.5999999999999992E-3</v>
      </c>
      <c r="N36" s="4">
        <v>0.63729999999999998</v>
      </c>
      <c r="Q36" s="4">
        <v>1.06E-2</v>
      </c>
      <c r="R36" s="4">
        <v>0.61839999999999995</v>
      </c>
      <c r="AF36" s="4">
        <f>AVERAGE(R36,N36,J36)</f>
        <v>0.60623333333333329</v>
      </c>
    </row>
    <row r="37" spans="1:32" x14ac:dyDescent="0.25">
      <c r="A37" s="4">
        <v>1.4999999999999999E-2</v>
      </c>
      <c r="B37" s="4">
        <v>0.49519999999999997</v>
      </c>
      <c r="E37" s="4">
        <v>1.4999999999999999E-2</v>
      </c>
      <c r="F37" s="4">
        <v>0.50700000000000001</v>
      </c>
      <c r="I37" s="4">
        <v>1.4999999999999999E-2</v>
      </c>
      <c r="M37" s="4">
        <v>1.4999999999999999E-2</v>
      </c>
      <c r="AF37" s="4">
        <f>AVERAGE(B37,F37)</f>
        <v>0.50109999999999999</v>
      </c>
    </row>
    <row r="38" spans="1:32" x14ac:dyDescent="0.25">
      <c r="A38" s="4"/>
      <c r="B38" s="4"/>
      <c r="E38" s="4"/>
      <c r="F38" s="4"/>
      <c r="I38" s="4">
        <v>2.8500000000000001E-2</v>
      </c>
      <c r="J38" s="4">
        <v>0.3619</v>
      </c>
      <c r="M38" s="4">
        <v>2.46E-2</v>
      </c>
      <c r="N38" s="4">
        <v>0.39639999999999997</v>
      </c>
      <c r="Q38" s="4">
        <v>2.5600000000000001E-2</v>
      </c>
      <c r="R38" s="4">
        <v>0.38929999999999998</v>
      </c>
      <c r="U38" s="4">
        <v>2.9600000000000001E-2</v>
      </c>
      <c r="V38" s="4">
        <v>0.35870000000000002</v>
      </c>
      <c r="AB38" s="4">
        <v>2.24E-2</v>
      </c>
      <c r="AC38" s="4">
        <v>0.41599999999999998</v>
      </c>
      <c r="AF38" s="4">
        <f>AVERAGE(J38,N38,R38,V38,AC38)</f>
        <v>0.38445999999999997</v>
      </c>
    </row>
    <row r="39" spans="1:32" x14ac:dyDescent="0.25">
      <c r="A39" s="4">
        <v>0.03</v>
      </c>
      <c r="B39" s="4">
        <v>0.32519999999999999</v>
      </c>
      <c r="E39" s="4">
        <v>0.03</v>
      </c>
      <c r="F39" s="4">
        <v>0.33350000000000002</v>
      </c>
      <c r="I39" s="4">
        <v>0.03</v>
      </c>
      <c r="M39" s="4">
        <v>0.03</v>
      </c>
      <c r="Y39" s="4">
        <v>3.2599999999999997E-2</v>
      </c>
      <c r="Z39" s="4">
        <v>0.33539999999999998</v>
      </c>
      <c r="AF39" s="4">
        <f>AVERAGE(B39,F39,Z39)</f>
        <v>0.33136666666666664</v>
      </c>
    </row>
    <row r="40" spans="1:32" x14ac:dyDescent="0.25">
      <c r="A40" s="4"/>
      <c r="B40" s="4"/>
      <c r="E40" s="4"/>
      <c r="F40" s="4"/>
      <c r="I40" s="4">
        <v>4.3499999999999997E-2</v>
      </c>
      <c r="J40" s="4">
        <v>0.26540000000000002</v>
      </c>
      <c r="M40" s="4">
        <v>3.9600000000000003E-2</v>
      </c>
      <c r="N40" s="4">
        <v>0.28599999999999998</v>
      </c>
      <c r="Q40" s="4">
        <v>4.0599999999999997E-2</v>
      </c>
      <c r="R40" s="4">
        <v>0.28239999999999998</v>
      </c>
      <c r="U40" s="4">
        <v>4.4600000000000001E-2</v>
      </c>
      <c r="V40" s="4">
        <v>0.26667000000000002</v>
      </c>
      <c r="Y40" s="4">
        <v>4.7600000000000003E-2</v>
      </c>
      <c r="Z40" s="4">
        <v>0.2535</v>
      </c>
      <c r="AB40" s="4">
        <v>3.7400000000000003E-2</v>
      </c>
      <c r="AC40" s="4">
        <v>0.29759999999999998</v>
      </c>
      <c r="AF40" s="4">
        <f>AVERAGE(J40,N40,R40,V40,Z40,AC40)</f>
        <v>0.27526166666666668</v>
      </c>
    </row>
    <row r="41" spans="1:32" x14ac:dyDescent="0.25">
      <c r="A41" s="4">
        <v>0.05</v>
      </c>
      <c r="B41" s="4">
        <v>0.2235</v>
      </c>
      <c r="E41" s="4">
        <v>0.05</v>
      </c>
      <c r="F41" s="4">
        <v>0.2296</v>
      </c>
      <c r="I41" s="4">
        <v>0.05</v>
      </c>
      <c r="M41" s="4">
        <v>0.05</v>
      </c>
      <c r="AF41" s="4">
        <f>AVERAGE(B41,F41)</f>
        <v>0.22655</v>
      </c>
    </row>
    <row r="42" spans="1:32" x14ac:dyDescent="0.25">
      <c r="A42" s="4"/>
      <c r="B42" s="4"/>
      <c r="E42" s="4"/>
      <c r="F42" s="4"/>
      <c r="I42" s="4">
        <v>6.3500000000000001E-2</v>
      </c>
      <c r="J42" s="4">
        <v>0.19670000000000001</v>
      </c>
      <c r="M42" s="4">
        <v>5.96E-2</v>
      </c>
      <c r="N42" s="4">
        <v>0.2092</v>
      </c>
      <c r="Q42" s="4">
        <v>6.0600000000000001E-2</v>
      </c>
      <c r="R42" s="4">
        <v>0.20749999999999999</v>
      </c>
      <c r="U42" s="4">
        <v>5.96E-2</v>
      </c>
      <c r="V42" s="4">
        <v>0.21299999999999999</v>
      </c>
      <c r="Y42" s="4">
        <v>6.2600000000000003E-2</v>
      </c>
      <c r="Z42" s="4">
        <v>0.20419999999999999</v>
      </c>
      <c r="AB42" s="4">
        <v>5.2400000000000002E-2</v>
      </c>
      <c r="AC42" s="4">
        <v>0.23219999999999999</v>
      </c>
      <c r="AF42" s="4">
        <f>AVERAGE(J42,N42,R42,V42,Z42,AC42)</f>
        <v>0.21046666666666666</v>
      </c>
    </row>
    <row r="43" spans="1:32" x14ac:dyDescent="0.25">
      <c r="A43" s="4">
        <v>7.4999999999999997E-2</v>
      </c>
      <c r="B43" s="4">
        <v>0.16120000000000001</v>
      </c>
      <c r="E43" s="4">
        <v>7.4999999999999997E-2</v>
      </c>
      <c r="F43" s="4">
        <v>0.1656</v>
      </c>
      <c r="I43" s="4">
        <v>7.4999999999999997E-2</v>
      </c>
      <c r="M43" s="4">
        <v>7.4999999999999997E-2</v>
      </c>
      <c r="AB43" s="4">
        <v>7.2400000000000006E-2</v>
      </c>
      <c r="AC43" s="4">
        <v>0.1804</v>
      </c>
      <c r="AF43" s="4">
        <f>AVERAGE(B43,F43,AC43)</f>
        <v>0.16906666666666667</v>
      </c>
    </row>
    <row r="44" spans="1:32" x14ac:dyDescent="0.25">
      <c r="I44" s="4">
        <v>8.8499999999999995E-2</v>
      </c>
      <c r="J44" s="4">
        <v>0.1502</v>
      </c>
      <c r="M44" s="4">
        <v>8.4599999999999995E-2</v>
      </c>
      <c r="N44" s="4">
        <v>0.1575</v>
      </c>
      <c r="Q44" s="4">
        <v>8.5599999999999996E-2</v>
      </c>
      <c r="R44" s="4">
        <v>0.15670000000000001</v>
      </c>
      <c r="U44" s="4">
        <v>7.9600000000000004E-2</v>
      </c>
      <c r="V44" s="4">
        <v>0.16869999999999999</v>
      </c>
      <c r="Y44" s="4">
        <v>8.2600000000000007E-2</v>
      </c>
      <c r="Z44" s="4">
        <v>0.1633</v>
      </c>
      <c r="AF44" s="4">
        <f>AVERAGE(J44,N44,R44,V44,Z44)</f>
        <v>0.15928</v>
      </c>
    </row>
    <row r="45" spans="1:32" x14ac:dyDescent="0.25">
      <c r="I45" s="4"/>
      <c r="J45" s="4"/>
      <c r="M45" s="4"/>
      <c r="N45" s="4"/>
      <c r="Q45" s="4"/>
      <c r="R45" s="4"/>
      <c r="U45" s="4"/>
      <c r="V45" s="4"/>
      <c r="Y45" s="4"/>
      <c r="Z45" s="4"/>
      <c r="AC45" t="s">
        <v>35</v>
      </c>
    </row>
    <row r="46" spans="1:32" x14ac:dyDescent="0.25">
      <c r="A46" t="s">
        <v>15</v>
      </c>
      <c r="E46" t="s">
        <v>19</v>
      </c>
      <c r="I46" t="s">
        <v>20</v>
      </c>
      <c r="M46" t="s">
        <v>21</v>
      </c>
      <c r="Q46" t="s">
        <v>22</v>
      </c>
      <c r="U46" t="s">
        <v>23</v>
      </c>
      <c r="Y46" t="s">
        <v>24</v>
      </c>
      <c r="AB46" t="s">
        <v>25</v>
      </c>
    </row>
    <row r="47" spans="1:32" x14ac:dyDescent="0.25">
      <c r="A47" s="2" t="s">
        <v>16</v>
      </c>
      <c r="B47" s="5">
        <f>150/0.48/3^0.5/0.0575/12</f>
        <v>261.48110017646093</v>
      </c>
      <c r="E47" s="2" t="s">
        <v>16</v>
      </c>
      <c r="F47" s="5">
        <f>300/0.48/3^0.5/0.0575/23.2</f>
        <v>270.49768983771821</v>
      </c>
      <c r="I47" s="2" t="s">
        <v>16</v>
      </c>
      <c r="J47">
        <f>450/0.48/3^0.5/0.0575/30.37</f>
        <v>309.95454745974956</v>
      </c>
      <c r="M47" s="2" t="s">
        <v>16</v>
      </c>
      <c r="N47">
        <f>900/0.48/3^0.5/0.0575/73.37</f>
        <v>256.59859905554293</v>
      </c>
      <c r="Q47" s="2" t="s">
        <v>16</v>
      </c>
      <c r="R47">
        <f>1500/0.48/3^0.5/0.0575/120.5</f>
        <v>260.39611635830136</v>
      </c>
      <c r="U47" s="2" t="s">
        <v>16</v>
      </c>
      <c r="V47">
        <f>3500/0.48/3^0.5/0.0575/259.15</f>
        <v>282.51864962148983</v>
      </c>
      <c r="Y47" s="2" t="s">
        <v>16</v>
      </c>
      <c r="Z47">
        <f>5000/0.48/3^0.5/0.0575/410.45</f>
        <v>254.82382767836376</v>
      </c>
      <c r="AB47" s="2" t="s">
        <v>16</v>
      </c>
      <c r="AC47">
        <f>9000/0.48/3^0.5/0.0575/739.26</f>
        <v>254.66871212706207</v>
      </c>
      <c r="AF47" s="4" t="s">
        <v>28</v>
      </c>
    </row>
    <row r="48" spans="1:32" x14ac:dyDescent="0.25">
      <c r="A48" s="3" t="s">
        <v>17</v>
      </c>
      <c r="B48" s="3" t="s">
        <v>18</v>
      </c>
      <c r="E48" s="3" t="s">
        <v>17</v>
      </c>
      <c r="F48" s="3" t="s">
        <v>18</v>
      </c>
      <c r="I48" s="3" t="s">
        <v>17</v>
      </c>
      <c r="J48" s="3" t="s">
        <v>18</v>
      </c>
      <c r="M48" s="3" t="s">
        <v>17</v>
      </c>
      <c r="N48" s="3" t="s">
        <v>18</v>
      </c>
      <c r="Q48" s="3" t="s">
        <v>17</v>
      </c>
      <c r="R48" s="3" t="s">
        <v>18</v>
      </c>
      <c r="U48" s="3" t="s">
        <v>17</v>
      </c>
      <c r="V48" s="3" t="s">
        <v>18</v>
      </c>
      <c r="Y48" s="3" t="s">
        <v>17</v>
      </c>
      <c r="Z48" s="3" t="s">
        <v>18</v>
      </c>
      <c r="AB48" s="3" t="s">
        <v>17</v>
      </c>
      <c r="AC48" s="3" t="s">
        <v>18</v>
      </c>
    </row>
    <row r="49" spans="1:32" x14ac:dyDescent="0.25">
      <c r="A49" s="4">
        <v>0</v>
      </c>
      <c r="B49" s="4">
        <v>1.1315999999999999</v>
      </c>
      <c r="E49" s="4">
        <v>0</v>
      </c>
      <c r="F49" s="4">
        <v>1.1402000000000001</v>
      </c>
      <c r="I49" s="4">
        <v>0</v>
      </c>
      <c r="M49" s="4">
        <v>0</v>
      </c>
      <c r="AF49" s="4">
        <f>AVERAGE(B49,F49)</f>
        <v>1.1358999999999999</v>
      </c>
    </row>
    <row r="50" spans="1:32" x14ac:dyDescent="0.25">
      <c r="A50" s="4"/>
      <c r="B50" s="4"/>
      <c r="E50" s="4"/>
      <c r="F50" s="4"/>
      <c r="I50" s="4">
        <v>1.35E-2</v>
      </c>
      <c r="J50" s="4">
        <v>0.53849999999999998</v>
      </c>
      <c r="M50" s="4">
        <v>9.5999999999999992E-3</v>
      </c>
      <c r="N50" s="4">
        <v>0.60489999999999999</v>
      </c>
      <c r="Q50" s="4">
        <v>1.06E-2</v>
      </c>
      <c r="R50" s="4">
        <v>0.58740000000000003</v>
      </c>
      <c r="AF50" s="4">
        <f>AVERAGE(R50,N50,J50)</f>
        <v>0.5769333333333333</v>
      </c>
    </row>
    <row r="51" spans="1:32" x14ac:dyDescent="0.25">
      <c r="A51" s="4">
        <v>1.4999999999999999E-2</v>
      </c>
      <c r="B51" s="4">
        <v>0.48909999999999998</v>
      </c>
      <c r="E51" s="4">
        <v>1.4999999999999999E-2</v>
      </c>
      <c r="F51" s="4">
        <v>0.49830000000000002</v>
      </c>
      <c r="I51" s="4">
        <v>1.4999999999999999E-2</v>
      </c>
      <c r="M51" s="4">
        <v>1.4999999999999999E-2</v>
      </c>
      <c r="AF51" s="4">
        <f>AVERAGE(B51,F51)</f>
        <v>0.49370000000000003</v>
      </c>
    </row>
    <row r="52" spans="1:32" x14ac:dyDescent="0.25">
      <c r="A52" s="4"/>
      <c r="B52" s="4"/>
      <c r="E52" s="4"/>
      <c r="F52" s="4"/>
      <c r="I52" s="4">
        <v>2.8500000000000001E-2</v>
      </c>
      <c r="J52" s="4">
        <v>0.35049999999999998</v>
      </c>
      <c r="M52" s="4">
        <v>2.46E-2</v>
      </c>
      <c r="N52" s="4">
        <v>0.38240000000000002</v>
      </c>
      <c r="Q52" s="4">
        <v>2.5600000000000001E-2</v>
      </c>
      <c r="R52" s="4">
        <v>0.3755</v>
      </c>
      <c r="U52" s="4">
        <v>2.9600000000000001E-2</v>
      </c>
      <c r="V52" s="4">
        <v>0.34789999999999999</v>
      </c>
      <c r="AB52" s="4">
        <v>2.24E-2</v>
      </c>
      <c r="AC52" s="4">
        <v>0.39760000000000001</v>
      </c>
      <c r="AF52" s="4">
        <f>AVERAGE(J52,N52,R52,V52,AC52)</f>
        <v>0.37078</v>
      </c>
    </row>
    <row r="53" spans="1:32" x14ac:dyDescent="0.25">
      <c r="A53" s="4">
        <v>0.03</v>
      </c>
      <c r="B53" s="4">
        <v>0.34239999999999998</v>
      </c>
      <c r="E53" s="4">
        <v>0.03</v>
      </c>
      <c r="F53" s="4">
        <v>0.32979999999999998</v>
      </c>
      <c r="I53" s="4">
        <v>0.03</v>
      </c>
      <c r="M53" s="4">
        <v>0.03</v>
      </c>
      <c r="Y53" s="4">
        <v>3.2599999999999997E-2</v>
      </c>
      <c r="Z53" s="4">
        <v>0.32269999999999999</v>
      </c>
      <c r="AF53" s="4">
        <f>AVERAGE(B53,F53,Z53)</f>
        <v>0.33163333333333328</v>
      </c>
    </row>
    <row r="54" spans="1:32" x14ac:dyDescent="0.25">
      <c r="A54" s="4"/>
      <c r="B54" s="4"/>
      <c r="E54" s="4"/>
      <c r="F54" s="4"/>
      <c r="I54" s="4">
        <v>4.3499999999999997E-2</v>
      </c>
      <c r="J54" s="4">
        <v>0.25929999999999997</v>
      </c>
      <c r="M54" s="4">
        <v>3.9600000000000003E-2</v>
      </c>
      <c r="N54" s="4">
        <v>0.2787</v>
      </c>
      <c r="Q54" s="4">
        <v>4.0599999999999997E-2</v>
      </c>
      <c r="R54" s="4">
        <v>0.27500000000000002</v>
      </c>
      <c r="U54" s="4">
        <v>4.4600000000000001E-2</v>
      </c>
      <c r="V54" s="4">
        <v>0.26069999999999999</v>
      </c>
      <c r="Y54" s="4">
        <v>4.7600000000000003E-2</v>
      </c>
      <c r="Z54" s="4">
        <v>0.24590000000000001</v>
      </c>
      <c r="AB54" s="4">
        <v>3.7400000000000003E-2</v>
      </c>
      <c r="AC54" s="4">
        <v>0.28799999999999998</v>
      </c>
      <c r="AF54" s="4">
        <f>AVERAGE(J54,N54,R54,V54,Z54,AC54)</f>
        <v>0.26793333333333336</v>
      </c>
    </row>
    <row r="55" spans="1:32" x14ac:dyDescent="0.25">
      <c r="A55" s="4">
        <v>0.05</v>
      </c>
      <c r="B55" s="4">
        <v>0.22220000000000001</v>
      </c>
      <c r="E55" s="4">
        <v>0.05</v>
      </c>
      <c r="F55" s="4">
        <v>0.2278</v>
      </c>
      <c r="I55" s="4">
        <v>0.05</v>
      </c>
      <c r="M55" s="4">
        <v>0.05</v>
      </c>
      <c r="AF55" s="4">
        <f>AVERAGE(B55,F55)</f>
        <v>0.22500000000000001</v>
      </c>
    </row>
    <row r="56" spans="1:32" x14ac:dyDescent="0.25">
      <c r="A56" s="4"/>
      <c r="B56" s="4"/>
      <c r="E56" s="4"/>
      <c r="F56" s="4"/>
      <c r="I56" s="4">
        <v>6.3500000000000001E-2</v>
      </c>
      <c r="J56" s="4">
        <v>0.19339999999999999</v>
      </c>
      <c r="M56" s="4">
        <v>5.96E-2</v>
      </c>
      <c r="N56" s="4">
        <v>0.20530000000000001</v>
      </c>
      <c r="Q56" s="4">
        <v>6.0600000000000001E-2</v>
      </c>
      <c r="R56" s="4">
        <v>0.2034</v>
      </c>
      <c r="U56" s="4">
        <v>5.96E-2</v>
      </c>
      <c r="V56" s="4">
        <v>0.20899999999999999</v>
      </c>
      <c r="Y56" s="4">
        <v>6.2600000000000003E-2</v>
      </c>
      <c r="Z56" s="4">
        <v>0.19939999999999999</v>
      </c>
      <c r="AB56" s="4">
        <v>5.2400000000000002E-2</v>
      </c>
      <c r="AC56" s="4">
        <v>0.2263</v>
      </c>
      <c r="AF56" s="4">
        <f>AVERAGE(J56,N56,R56,V56,Z56,AC56)</f>
        <v>0.20613333333333331</v>
      </c>
    </row>
    <row r="57" spans="1:32" x14ac:dyDescent="0.25">
      <c r="A57" s="4">
        <v>7.4999999999999997E-2</v>
      </c>
      <c r="B57" s="4">
        <v>0.1605</v>
      </c>
      <c r="E57" s="4">
        <v>7.4999999999999997E-2</v>
      </c>
      <c r="F57" s="4">
        <v>0.16470000000000001</v>
      </c>
      <c r="I57" s="4">
        <v>7.4999999999999997E-2</v>
      </c>
      <c r="M57" s="4">
        <v>7.4999999999999997E-2</v>
      </c>
      <c r="AB57" s="4">
        <v>7.2400000000000006E-2</v>
      </c>
      <c r="AC57" s="4">
        <v>0.1767</v>
      </c>
      <c r="AF57" s="4">
        <f>AVERAGE(B57,F57,AC57)</f>
        <v>0.1673</v>
      </c>
    </row>
    <row r="61" spans="1:32" x14ac:dyDescent="0.25">
      <c r="A61" t="s">
        <v>15</v>
      </c>
      <c r="E61" t="s">
        <v>19</v>
      </c>
      <c r="I61" t="s">
        <v>20</v>
      </c>
      <c r="M61" t="s">
        <v>21</v>
      </c>
      <c r="Q61" t="s">
        <v>22</v>
      </c>
      <c r="U61" t="s">
        <v>23</v>
      </c>
      <c r="Y61" t="s">
        <v>24</v>
      </c>
      <c r="AB61" t="s">
        <v>25</v>
      </c>
    </row>
    <row r="62" spans="1:32" x14ac:dyDescent="0.25">
      <c r="A62" s="2" t="s">
        <v>16</v>
      </c>
      <c r="B62" s="5">
        <f>70/0.48/3^0.5/0.0575/8</f>
        <v>183.03677012352267</v>
      </c>
      <c r="E62" s="2" t="s">
        <v>16</v>
      </c>
      <c r="F62" s="5">
        <f>125/0.48/3^0.5/0.0575/14.3</f>
        <v>182.85391620731536</v>
      </c>
      <c r="I62" s="2" t="s">
        <v>16</v>
      </c>
      <c r="J62">
        <f>275/0.48/3^0.5/0.0575/34.06</f>
        <v>168.89560199301647</v>
      </c>
      <c r="M62" s="2" t="s">
        <v>16</v>
      </c>
      <c r="N62">
        <f>600/0.48/3^0.5/0.0575/70.01</f>
        <v>179.2757150188562</v>
      </c>
      <c r="Q62" s="2" t="s">
        <v>16</v>
      </c>
      <c r="R62">
        <f>900/0.48/3^0.5/0.0575/114.65</f>
        <v>164.20967477283199</v>
      </c>
      <c r="U62" s="2" t="s">
        <v>16</v>
      </c>
      <c r="V62">
        <f>2000/0.48/3^0.5/0.0575/255.21</f>
        <v>163.93157019017184</v>
      </c>
      <c r="Y62" s="2" t="s">
        <v>16</v>
      </c>
      <c r="Z62">
        <f>3250/0.48/3^0.5/0.0575/405.13</f>
        <v>167.81054487665654</v>
      </c>
      <c r="AB62" s="2" t="s">
        <v>16</v>
      </c>
      <c r="AC62">
        <f>6000/0.48/3^0.5/0.0575/724.22</f>
        <v>173.30497374375364</v>
      </c>
      <c r="AF62" s="4" t="s">
        <v>29</v>
      </c>
    </row>
    <row r="63" spans="1:32" x14ac:dyDescent="0.25">
      <c r="A63" s="3" t="s">
        <v>17</v>
      </c>
      <c r="B63" s="3" t="s">
        <v>18</v>
      </c>
      <c r="E63" s="3" t="s">
        <v>17</v>
      </c>
      <c r="F63" s="3" t="s">
        <v>18</v>
      </c>
      <c r="I63" s="3" t="s">
        <v>17</v>
      </c>
      <c r="J63" s="3" t="s">
        <v>18</v>
      </c>
      <c r="M63" s="3" t="s">
        <v>17</v>
      </c>
      <c r="N63" s="3" t="s">
        <v>18</v>
      </c>
      <c r="Q63" s="3" t="s">
        <v>17</v>
      </c>
      <c r="R63" s="3" t="s">
        <v>18</v>
      </c>
      <c r="U63" s="3" t="s">
        <v>17</v>
      </c>
      <c r="V63" s="3" t="s">
        <v>18</v>
      </c>
      <c r="Y63" s="3" t="s">
        <v>17</v>
      </c>
      <c r="Z63" s="3" t="s">
        <v>18</v>
      </c>
      <c r="AB63" s="3" t="s">
        <v>17</v>
      </c>
      <c r="AC63" s="3" t="s">
        <v>18</v>
      </c>
    </row>
    <row r="64" spans="1:32" x14ac:dyDescent="0.25">
      <c r="A64" s="4">
        <v>0</v>
      </c>
      <c r="B64" s="4">
        <v>0.92920000000000003</v>
      </c>
      <c r="E64" s="4">
        <v>0</v>
      </c>
      <c r="F64" s="4">
        <v>0.90880000000000005</v>
      </c>
      <c r="I64" s="4">
        <v>0</v>
      </c>
      <c r="M64" s="4">
        <v>0</v>
      </c>
      <c r="AF64" s="4">
        <f>AVERAGE(B64,F64)</f>
        <v>0.91900000000000004</v>
      </c>
    </row>
    <row r="65" spans="1:32" x14ac:dyDescent="0.25">
      <c r="A65" s="4"/>
      <c r="B65" s="4"/>
      <c r="E65" s="4"/>
      <c r="F65" s="4"/>
      <c r="I65" s="4">
        <v>1.35E-2</v>
      </c>
      <c r="J65" s="4">
        <v>0.50539999999999996</v>
      </c>
      <c r="M65" s="4">
        <v>9.5999999999999992E-3</v>
      </c>
      <c r="N65" s="4">
        <v>0.57330000000000003</v>
      </c>
      <c r="Q65" s="4">
        <v>1.06E-2</v>
      </c>
      <c r="R65" s="4">
        <v>0.54820000000000002</v>
      </c>
      <c r="AF65" s="4">
        <f>AVERAGE(R65,N65,J65)</f>
        <v>0.5423</v>
      </c>
    </row>
    <row r="66" spans="1:32" x14ac:dyDescent="0.25">
      <c r="A66" s="4">
        <v>1.4999999999999999E-2</v>
      </c>
      <c r="B66" s="4">
        <v>0.46179999999999999</v>
      </c>
      <c r="E66" s="4">
        <v>1.4999999999999999E-2</v>
      </c>
      <c r="F66" s="4">
        <v>0.46529999999999999</v>
      </c>
      <c r="I66" s="4">
        <v>1.4999999999999999E-2</v>
      </c>
      <c r="M66" s="4">
        <v>1.4999999999999999E-2</v>
      </c>
      <c r="AF66" s="4">
        <f>AVERAGE(B66,F66)</f>
        <v>0.46355000000000002</v>
      </c>
    </row>
    <row r="67" spans="1:32" x14ac:dyDescent="0.25">
      <c r="A67" s="4"/>
      <c r="B67" s="4"/>
      <c r="E67" s="4"/>
      <c r="F67" s="4"/>
      <c r="I67" s="4">
        <v>2.8500000000000001E-2</v>
      </c>
      <c r="J67" s="4">
        <v>0.3352</v>
      </c>
      <c r="M67" s="4">
        <v>2.46E-2</v>
      </c>
      <c r="N67" s="4">
        <v>0.36849999999999999</v>
      </c>
      <c r="Q67" s="4">
        <v>2.5600000000000001E-2</v>
      </c>
      <c r="R67" s="4">
        <v>0.35780000000000001</v>
      </c>
      <c r="U67" s="4">
        <v>2.9600000000000001E-2</v>
      </c>
      <c r="V67" s="4">
        <v>0.32990000000000003</v>
      </c>
      <c r="AB67" s="4">
        <v>2.24E-2</v>
      </c>
      <c r="AC67" s="4">
        <v>0.38059999999999999</v>
      </c>
      <c r="AF67" s="4">
        <f>AVERAGE(J67,N67,R67,V67,AC67)</f>
        <v>0.35440000000000005</v>
      </c>
    </row>
    <row r="68" spans="1:32" x14ac:dyDescent="0.25">
      <c r="A68" s="4">
        <v>0.03</v>
      </c>
      <c r="B68" s="4">
        <v>0.31019999999999998</v>
      </c>
      <c r="E68" s="4">
        <v>0.03</v>
      </c>
      <c r="F68" s="4">
        <v>0.31480000000000002</v>
      </c>
      <c r="I68" s="4">
        <v>0.03</v>
      </c>
      <c r="M68" s="4">
        <v>0.03</v>
      </c>
      <c r="Y68" s="4">
        <v>3.2599999999999997E-2</v>
      </c>
      <c r="Z68" s="4">
        <v>0.31</v>
      </c>
      <c r="AF68" s="4">
        <f>AVERAGE(B68,F68,Z68)</f>
        <v>0.3116666666666667</v>
      </c>
    </row>
    <row r="69" spans="1:32" x14ac:dyDescent="0.25">
      <c r="A69" s="4"/>
      <c r="B69" s="4"/>
      <c r="E69" s="4"/>
      <c r="F69" s="4"/>
      <c r="I69" s="4">
        <v>4.3499999999999997E-2</v>
      </c>
      <c r="J69" s="4">
        <v>0.25090000000000001</v>
      </c>
      <c r="M69" s="4">
        <v>3.9600000000000003E-2</v>
      </c>
      <c r="N69" s="4">
        <v>0.27110000000000001</v>
      </c>
      <c r="Q69" s="4">
        <v>4.0599999999999997E-2</v>
      </c>
      <c r="R69" s="4">
        <v>0.26540000000000002</v>
      </c>
      <c r="U69" s="4">
        <v>4.4600000000000001E-2</v>
      </c>
      <c r="V69" s="4">
        <v>0.25040000000000001</v>
      </c>
      <c r="Y69" s="4">
        <v>4.7600000000000003E-2</v>
      </c>
      <c r="Z69" s="4">
        <v>0.2384</v>
      </c>
      <c r="AB69" s="4">
        <v>3.7400000000000003E-2</v>
      </c>
      <c r="AC69" s="4">
        <v>0.27879999999999999</v>
      </c>
      <c r="AF69" s="4">
        <f>AVERAGE(J69,N69,R69,V69,Z69,AC69)</f>
        <v>0.25916666666666666</v>
      </c>
    </row>
    <row r="70" spans="1:32" x14ac:dyDescent="0.25">
      <c r="A70" s="4">
        <v>0.05</v>
      </c>
      <c r="B70" s="4">
        <v>0.2162</v>
      </c>
      <c r="E70" s="4">
        <v>0.05</v>
      </c>
      <c r="F70" s="4">
        <v>0.2203</v>
      </c>
      <c r="I70" s="4">
        <v>0.05</v>
      </c>
      <c r="M70" s="4">
        <v>0.05</v>
      </c>
      <c r="AF70" s="4">
        <f>AVERAGE(B70,F70)</f>
        <v>0.21825</v>
      </c>
    </row>
    <row r="71" spans="1:32" x14ac:dyDescent="0.25">
      <c r="A71" s="4"/>
      <c r="B71" s="4"/>
      <c r="E71" s="4"/>
      <c r="F71" s="4"/>
      <c r="I71" s="4">
        <v>6.3500000000000001E-2</v>
      </c>
      <c r="J71" s="4">
        <v>0.18859999999999999</v>
      </c>
      <c r="M71" s="4">
        <v>5.96E-2</v>
      </c>
      <c r="N71" s="4">
        <v>0.20100000000000001</v>
      </c>
      <c r="Q71" s="4">
        <v>6.0600000000000001E-2</v>
      </c>
      <c r="R71" s="4">
        <v>0.19800000000000001</v>
      </c>
      <c r="U71" s="4">
        <v>5.96E-2</v>
      </c>
      <c r="V71" s="4">
        <v>0.2024</v>
      </c>
      <c r="Y71" s="4">
        <v>6.2600000000000003E-2</v>
      </c>
      <c r="Z71" s="4">
        <v>0.19439999999999999</v>
      </c>
      <c r="AB71" s="4">
        <v>5.2400000000000002E-2</v>
      </c>
      <c r="AC71" s="4">
        <v>0.2205</v>
      </c>
      <c r="AF71" s="4">
        <f>AVERAGE(J71,N71,R71,V71,Z71,AC71)</f>
        <v>0.20081666666666667</v>
      </c>
    </row>
    <row r="72" spans="1:32" x14ac:dyDescent="0.25">
      <c r="A72" s="4">
        <v>7.4999999999999997E-2</v>
      </c>
      <c r="B72" s="4">
        <v>0.15720000000000001</v>
      </c>
      <c r="E72" s="4">
        <v>7.4999999999999997E-2</v>
      </c>
      <c r="F72" s="4">
        <v>0.16059999999999999</v>
      </c>
      <c r="I72" s="4">
        <v>7.4999999999999997E-2</v>
      </c>
      <c r="M72" s="4">
        <v>7.4999999999999997E-2</v>
      </c>
      <c r="AB72" s="4">
        <v>7.2400000000000006E-2</v>
      </c>
      <c r="AC72" s="4">
        <v>0.17330000000000001</v>
      </c>
      <c r="AF72" s="4">
        <f>AVERAGE(B72,F72,AC72)</f>
        <v>0.16369999999999998</v>
      </c>
    </row>
    <row r="76" spans="1:32" x14ac:dyDescent="0.25">
      <c r="A76" t="s">
        <v>15</v>
      </c>
      <c r="E76" t="s">
        <v>19</v>
      </c>
      <c r="I76" t="s">
        <v>20</v>
      </c>
      <c r="M76" t="s">
        <v>21</v>
      </c>
      <c r="Q76" t="s">
        <v>22</v>
      </c>
      <c r="U76" t="s">
        <v>23</v>
      </c>
      <c r="Y76" t="s">
        <v>24</v>
      </c>
      <c r="AB76" t="s">
        <v>25</v>
      </c>
    </row>
    <row r="77" spans="1:32" x14ac:dyDescent="0.25">
      <c r="A77" s="2" t="s">
        <v>16</v>
      </c>
      <c r="B77" s="5">
        <f>35/0.48/3^0.5/0.0575/7.13</f>
        <v>102.68542503423431</v>
      </c>
      <c r="E77" s="2" t="s">
        <v>16</v>
      </c>
      <c r="F77" s="5">
        <f>70/0.48/3^0.5/0.0575/13.65</f>
        <v>107.27429750829167</v>
      </c>
      <c r="I77" s="2" t="s">
        <v>16</v>
      </c>
      <c r="J77">
        <f>150/0.48/3^0.5/0.0575/33.35</f>
        <v>94.08615298703242</v>
      </c>
      <c r="M77" s="2" t="s">
        <v>16</v>
      </c>
      <c r="N77">
        <f>350/0.48/3^0.5/0.0575/68.15</f>
        <v>107.43170660221433</v>
      </c>
      <c r="Q77" s="2" t="s">
        <v>16</v>
      </c>
      <c r="R77">
        <f>600/0.48/3^0.5/0.0575/112.44</f>
        <v>111.62480263669623</v>
      </c>
      <c r="U77" s="2" t="s">
        <v>16</v>
      </c>
      <c r="V77">
        <f>1350/0.48/3^0.5/0.0575/253.65</f>
        <v>111.33435371203541</v>
      </c>
      <c r="Y77" s="2" t="s">
        <v>16</v>
      </c>
      <c r="Z77">
        <f>2000/0.48/3^0.5/0.0575/402.7</f>
        <v>103.89117464175257</v>
      </c>
      <c r="AB77" s="2" t="s">
        <v>16</v>
      </c>
      <c r="AC77">
        <f>3500/0.48/3^0.5/0.0575/715.72</f>
        <v>102.2951825426271</v>
      </c>
      <c r="AF77" s="4" t="s">
        <v>30</v>
      </c>
    </row>
    <row r="78" spans="1:32" x14ac:dyDescent="0.25">
      <c r="A78" s="3" t="s">
        <v>17</v>
      </c>
      <c r="B78" s="3" t="s">
        <v>18</v>
      </c>
      <c r="E78" s="3" t="s">
        <v>17</v>
      </c>
      <c r="F78" s="3" t="s">
        <v>18</v>
      </c>
      <c r="I78" s="3" t="s">
        <v>17</v>
      </c>
      <c r="J78" s="3" t="s">
        <v>18</v>
      </c>
      <c r="M78" s="3" t="s">
        <v>17</v>
      </c>
      <c r="N78" s="3" t="s">
        <v>18</v>
      </c>
      <c r="Q78" s="3" t="s">
        <v>17</v>
      </c>
      <c r="R78" s="3" t="s">
        <v>18</v>
      </c>
      <c r="U78" s="3" t="s">
        <v>17</v>
      </c>
      <c r="V78" s="3" t="s">
        <v>18</v>
      </c>
      <c r="Y78" s="3" t="s">
        <v>17</v>
      </c>
      <c r="Z78" s="3" t="s">
        <v>18</v>
      </c>
      <c r="AB78" s="3" t="s">
        <v>17</v>
      </c>
      <c r="AC78" s="3" t="s">
        <v>18</v>
      </c>
    </row>
    <row r="79" spans="1:32" x14ac:dyDescent="0.25">
      <c r="A79" s="4">
        <v>0</v>
      </c>
      <c r="B79" s="4">
        <v>0.74919999999999998</v>
      </c>
      <c r="E79" s="4">
        <v>0</v>
      </c>
      <c r="F79" s="4">
        <v>0.7581</v>
      </c>
      <c r="I79" s="4">
        <v>0</v>
      </c>
      <c r="M79" s="4">
        <v>0</v>
      </c>
      <c r="AF79" s="4">
        <f>AVERAGE(B79,F79)</f>
        <v>0.75364999999999993</v>
      </c>
    </row>
    <row r="80" spans="1:32" x14ac:dyDescent="0.25">
      <c r="A80" s="4"/>
      <c r="B80" s="4"/>
      <c r="E80" s="4"/>
      <c r="F80" s="4"/>
      <c r="I80" s="4">
        <v>1.35E-2</v>
      </c>
      <c r="J80" s="4">
        <v>0.4451</v>
      </c>
      <c r="M80" s="4">
        <v>9.5999999999999992E-3</v>
      </c>
      <c r="N80" s="4">
        <v>0.51429999999999998</v>
      </c>
      <c r="Q80" s="4">
        <v>1.06E-2</v>
      </c>
      <c r="R80" s="4">
        <v>0.50509999999999999</v>
      </c>
      <c r="AF80" s="4">
        <f>AVERAGE(R80,N80,J80)</f>
        <v>0.48816666666666669</v>
      </c>
    </row>
    <row r="81" spans="1:32" x14ac:dyDescent="0.25">
      <c r="A81" s="4">
        <v>1.4999999999999999E-2</v>
      </c>
      <c r="B81" s="4">
        <v>0.41799999999999998</v>
      </c>
      <c r="E81" s="4">
        <v>1.4999999999999999E-2</v>
      </c>
      <c r="F81" s="4">
        <v>0.42670000000000002</v>
      </c>
      <c r="I81" s="4">
        <v>1.4999999999999999E-2</v>
      </c>
      <c r="M81" s="4">
        <v>1.4999999999999999E-2</v>
      </c>
      <c r="AF81" s="4">
        <f>AVERAGE(B81,F81)</f>
        <v>0.42235</v>
      </c>
    </row>
    <row r="82" spans="1:32" x14ac:dyDescent="0.25">
      <c r="A82" s="4"/>
      <c r="B82" s="4"/>
      <c r="E82" s="4"/>
      <c r="F82" s="4"/>
      <c r="I82" s="4">
        <v>2.8500000000000001E-2</v>
      </c>
      <c r="J82" s="4">
        <v>0.30649999999999999</v>
      </c>
      <c r="M82" s="4">
        <v>2.46E-2</v>
      </c>
      <c r="N82" s="4">
        <v>0.34179999999999999</v>
      </c>
      <c r="Q82" s="4">
        <v>2.5600000000000001E-2</v>
      </c>
      <c r="R82" s="4">
        <v>0.33810000000000001</v>
      </c>
      <c r="U82" s="4">
        <v>2.9600000000000001E-2</v>
      </c>
      <c r="V82" s="4">
        <v>0.31159999999999999</v>
      </c>
      <c r="AB82" s="4">
        <v>2.24E-2</v>
      </c>
      <c r="AC82" s="4">
        <v>0.34860000000000002</v>
      </c>
      <c r="AF82" s="4">
        <f>AVERAGE(J82,N82,R82,V82,AC82)</f>
        <v>0.32932</v>
      </c>
    </row>
    <row r="83" spans="1:32" x14ac:dyDescent="0.25">
      <c r="A83" s="4">
        <v>0.03</v>
      </c>
      <c r="B83" s="4">
        <v>0.28960000000000002</v>
      </c>
      <c r="E83" s="4">
        <v>0.03</v>
      </c>
      <c r="F83" s="4">
        <v>0.29630000000000001</v>
      </c>
      <c r="I83" s="4">
        <v>0.03</v>
      </c>
      <c r="M83" s="4">
        <v>0.03</v>
      </c>
      <c r="Y83" s="4">
        <v>3.2599999999999997E-2</v>
      </c>
      <c r="Z83" s="4">
        <v>0.28939999999999999</v>
      </c>
      <c r="AF83" s="4">
        <f>AVERAGE(B83,F83,Z83)</f>
        <v>0.29176666666666667</v>
      </c>
    </row>
    <row r="84" spans="1:32" x14ac:dyDescent="0.25">
      <c r="A84" s="4"/>
      <c r="B84" s="4"/>
      <c r="E84" s="4"/>
      <c r="F84" s="4"/>
      <c r="I84" s="4">
        <v>4.3499999999999997E-2</v>
      </c>
      <c r="J84" s="4">
        <v>0.23419999999999999</v>
      </c>
      <c r="M84" s="4">
        <v>3.9600000000000003E-2</v>
      </c>
      <c r="N84" s="4">
        <v>0.25629999999999997</v>
      </c>
      <c r="Q84" s="4">
        <v>4.0599999999999997E-2</v>
      </c>
      <c r="R84" s="4">
        <v>0.25419999999999998</v>
      </c>
      <c r="U84" s="4">
        <v>4.4600000000000001E-2</v>
      </c>
      <c r="V84" s="4">
        <v>0.2397</v>
      </c>
      <c r="Y84" s="4">
        <v>4.7600000000000003E-2</v>
      </c>
      <c r="Z84" s="4">
        <v>0.22600000000000001</v>
      </c>
      <c r="AB84" s="4">
        <v>3.7400000000000003E-2</v>
      </c>
      <c r="AC84" s="4">
        <v>0.26100000000000001</v>
      </c>
      <c r="AF84" s="4">
        <f>AVERAGE(J84,N84,R84,V84,Z84,AC84)</f>
        <v>0.24523333333333333</v>
      </c>
    </row>
    <row r="85" spans="1:32" x14ac:dyDescent="0.25">
      <c r="A85" s="4">
        <v>0.05</v>
      </c>
      <c r="B85" s="4">
        <v>0.2056</v>
      </c>
      <c r="E85" s="4">
        <v>0.05</v>
      </c>
      <c r="F85" s="4">
        <v>0.2109</v>
      </c>
      <c r="I85" s="4">
        <v>0.05</v>
      </c>
      <c r="M85" s="4">
        <v>0.05</v>
      </c>
      <c r="AF85" s="4">
        <f>AVERAGE(B85,F85)</f>
        <v>0.20824999999999999</v>
      </c>
    </row>
    <row r="86" spans="1:32" x14ac:dyDescent="0.25">
      <c r="A86" s="4"/>
      <c r="B86" s="4"/>
      <c r="E86" s="4"/>
      <c r="F86" s="4"/>
      <c r="I86" s="4">
        <v>6.3500000000000001E-2</v>
      </c>
      <c r="J86" s="4">
        <v>0.1719</v>
      </c>
      <c r="M86" s="4">
        <v>5.96E-2</v>
      </c>
      <c r="N86" s="4">
        <v>0.19259999999999999</v>
      </c>
      <c r="Q86" s="4">
        <v>6.0600000000000001E-2</v>
      </c>
      <c r="R86" s="4">
        <v>0.19159999999999999</v>
      </c>
      <c r="U86" s="4">
        <v>5.96E-2</v>
      </c>
      <c r="V86" s="4">
        <v>0.19539999999999999</v>
      </c>
      <c r="Y86" s="4">
        <v>6.2600000000000003E-2</v>
      </c>
      <c r="Z86" s="4">
        <v>0.18609999999999999</v>
      </c>
      <c r="AB86" s="4">
        <v>5.2400000000000002E-2</v>
      </c>
      <c r="AC86" s="4">
        <v>0.2092</v>
      </c>
      <c r="AF86" s="4">
        <f>AVERAGE(J86,N86,R86,V86,Z86,AC86)</f>
        <v>0.19113333333333335</v>
      </c>
    </row>
    <row r="87" spans="1:32" x14ac:dyDescent="0.25">
      <c r="A87" s="4">
        <v>7.4999999999999997E-2</v>
      </c>
      <c r="B87" s="4">
        <v>0.15160000000000001</v>
      </c>
      <c r="E87" s="4">
        <v>7.4999999999999997E-2</v>
      </c>
      <c r="F87" s="4">
        <v>0.15559999999999999</v>
      </c>
      <c r="I87" s="4">
        <v>7.4999999999999997E-2</v>
      </c>
      <c r="M87" s="4">
        <v>7.4999999999999997E-2</v>
      </c>
      <c r="AB87" s="4">
        <v>7.2400000000000006E-2</v>
      </c>
      <c r="AC87" s="4">
        <v>0.16619999999999999</v>
      </c>
      <c r="AF87" s="4">
        <f>AVERAGE(B87,F87,AC87)</f>
        <v>0.15780000000000002</v>
      </c>
    </row>
    <row r="91" spans="1:32" x14ac:dyDescent="0.25">
      <c r="A91" t="s">
        <v>15</v>
      </c>
      <c r="E91" t="s">
        <v>19</v>
      </c>
      <c r="I91" t="s">
        <v>20</v>
      </c>
      <c r="M91" t="s">
        <v>21</v>
      </c>
      <c r="Q91" t="s">
        <v>22</v>
      </c>
      <c r="U91" t="s">
        <v>23</v>
      </c>
      <c r="Y91" t="s">
        <v>24</v>
      </c>
      <c r="AB91" t="s">
        <v>25</v>
      </c>
    </row>
    <row r="92" spans="1:32" x14ac:dyDescent="0.25">
      <c r="A92" s="2" t="s">
        <v>16</v>
      </c>
      <c r="B92" s="5">
        <f>17/0.48/3^0.5/0.0575/7.13</f>
        <v>49.875777873770957</v>
      </c>
      <c r="E92" s="2" t="s">
        <v>16</v>
      </c>
      <c r="F92" s="5">
        <f>35/0.48/3^0.5/0.0575/13.65</f>
        <v>53.637148754145834</v>
      </c>
      <c r="I92" s="2" t="s">
        <v>16</v>
      </c>
      <c r="J92">
        <f>75/0.48/3^0.5/0.0575/33.35</f>
        <v>47.04307649351621</v>
      </c>
      <c r="M92" s="2" t="s">
        <v>16</v>
      </c>
      <c r="N92">
        <f>175/0.48/3^0.5/0.0575/68.15</f>
        <v>53.715853301107167</v>
      </c>
      <c r="Q92" s="2" t="s">
        <v>16</v>
      </c>
      <c r="R92">
        <f>300/0.48/3^0.5/0.0575/112.44</f>
        <v>55.812401318348115</v>
      </c>
      <c r="U92" s="2" t="s">
        <v>16</v>
      </c>
      <c r="V92">
        <f>675/0.48/3^0.5/0.0575/253.65</f>
        <v>55.667176856017704</v>
      </c>
      <c r="Y92" s="2" t="s">
        <v>16</v>
      </c>
      <c r="Z92">
        <f>1000/0.48/3^0.5/0.0575/402.7</f>
        <v>51.945587320876285</v>
      </c>
      <c r="AB92" s="2" t="s">
        <v>16</v>
      </c>
      <c r="AC92">
        <f>1750/0.48/3^0.5/0.0575/715.72</f>
        <v>51.147591271313551</v>
      </c>
      <c r="AF92" s="4" t="s">
        <v>31</v>
      </c>
    </row>
    <row r="93" spans="1:32" x14ac:dyDescent="0.25">
      <c r="A93" s="3" t="s">
        <v>17</v>
      </c>
      <c r="B93" s="3" t="s">
        <v>18</v>
      </c>
      <c r="E93" s="3" t="s">
        <v>17</v>
      </c>
      <c r="F93" s="3" t="s">
        <v>18</v>
      </c>
      <c r="I93" s="3" t="s">
        <v>17</v>
      </c>
      <c r="J93" s="3" t="s">
        <v>18</v>
      </c>
      <c r="M93" s="3" t="s">
        <v>17</v>
      </c>
      <c r="N93" s="3" t="s">
        <v>18</v>
      </c>
      <c r="Q93" s="3" t="s">
        <v>17</v>
      </c>
      <c r="R93" s="3" t="s">
        <v>18</v>
      </c>
      <c r="U93" s="3" t="s">
        <v>17</v>
      </c>
      <c r="V93" s="3" t="s">
        <v>18</v>
      </c>
      <c r="Y93" s="3" t="s">
        <v>17</v>
      </c>
      <c r="Z93" s="3" t="s">
        <v>18</v>
      </c>
      <c r="AB93" s="3" t="s">
        <v>17</v>
      </c>
      <c r="AC93" s="3" t="s">
        <v>18</v>
      </c>
    </row>
    <row r="94" spans="1:32" x14ac:dyDescent="0.25">
      <c r="A94" s="4">
        <v>0</v>
      </c>
      <c r="B94" s="4">
        <v>0.55410000000000004</v>
      </c>
      <c r="E94" s="4">
        <v>0</v>
      </c>
      <c r="F94" s="4">
        <v>0.57199999999999995</v>
      </c>
      <c r="I94" s="4">
        <v>0</v>
      </c>
      <c r="M94" s="4">
        <v>0</v>
      </c>
      <c r="AF94" s="4">
        <f>AVERAGE(B94,F94)</f>
        <v>0.56305000000000005</v>
      </c>
    </row>
    <row r="95" spans="1:32" x14ac:dyDescent="0.25">
      <c r="A95" s="4"/>
      <c r="B95" s="4"/>
      <c r="E95" s="4"/>
      <c r="F95" s="4"/>
      <c r="I95" s="4">
        <v>1.35E-2</v>
      </c>
      <c r="J95" s="4">
        <v>0.3498</v>
      </c>
      <c r="M95" s="4">
        <v>9.5999999999999992E-3</v>
      </c>
      <c r="N95" s="4">
        <v>0.4088</v>
      </c>
      <c r="Q95" s="4">
        <v>1.06E-2</v>
      </c>
      <c r="R95" s="4">
        <v>0.40539999999999998</v>
      </c>
      <c r="AF95" s="4">
        <f>AVERAGE(R95,N95,J95)</f>
        <v>0.38800000000000007</v>
      </c>
    </row>
    <row r="96" spans="1:32" x14ac:dyDescent="0.25">
      <c r="A96" s="4">
        <v>1.4999999999999999E-2</v>
      </c>
      <c r="B96" s="4">
        <v>0.34749999999999998</v>
      </c>
      <c r="E96" s="4">
        <v>1.4999999999999999E-2</v>
      </c>
      <c r="F96" s="4">
        <v>0.35880000000000001</v>
      </c>
      <c r="I96" s="4">
        <v>1.4999999999999999E-2</v>
      </c>
      <c r="M96" s="4">
        <v>1.4999999999999999E-2</v>
      </c>
      <c r="AF96" s="4">
        <f>AVERAGE(B96,F96)</f>
        <v>0.35314999999999996</v>
      </c>
    </row>
    <row r="97" spans="1:32" x14ac:dyDescent="0.25">
      <c r="A97" s="4"/>
      <c r="B97" s="4"/>
      <c r="E97" s="4"/>
      <c r="F97" s="4"/>
      <c r="I97" s="4">
        <v>2.8500000000000001E-2</v>
      </c>
      <c r="J97" s="4">
        <v>0.25740000000000002</v>
      </c>
      <c r="M97" s="4">
        <v>2.46E-2</v>
      </c>
      <c r="N97" s="4">
        <v>0.29089999999999999</v>
      </c>
      <c r="Q97" s="4">
        <v>2.5600000000000001E-2</v>
      </c>
      <c r="R97" s="4">
        <v>0.28920000000000001</v>
      </c>
      <c r="U97" s="4">
        <v>2.9600000000000001E-2</v>
      </c>
      <c r="V97" s="4">
        <v>0.2661</v>
      </c>
      <c r="AB97" s="4">
        <v>2.24E-2</v>
      </c>
      <c r="AC97" s="4">
        <v>0.28910000000000002</v>
      </c>
      <c r="AF97" s="4">
        <f>AVERAGE(J97,N97,R97,V97,AC97)</f>
        <v>0.27854000000000001</v>
      </c>
    </row>
    <row r="98" spans="1:32" x14ac:dyDescent="0.25">
      <c r="A98" s="4">
        <v>0.03</v>
      </c>
      <c r="B98" s="4">
        <v>0.25330000000000003</v>
      </c>
      <c r="E98" s="4">
        <v>0.03</v>
      </c>
      <c r="F98" s="4">
        <v>0.26140000000000002</v>
      </c>
      <c r="I98" s="4">
        <v>0.03</v>
      </c>
      <c r="M98" s="4">
        <v>0.03</v>
      </c>
      <c r="Y98" s="4">
        <v>3.2599999999999997E-2</v>
      </c>
      <c r="Z98" s="4">
        <v>0.24660000000000001</v>
      </c>
      <c r="AF98" s="4">
        <f>AVERAGE(B98,F98,Z98)</f>
        <v>0.2537666666666667</v>
      </c>
    </row>
    <row r="99" spans="1:32" x14ac:dyDescent="0.25">
      <c r="A99" s="4"/>
      <c r="B99" s="4"/>
      <c r="E99" s="4"/>
      <c r="F99" s="4"/>
      <c r="I99" s="4">
        <v>4.3499999999999997E-2</v>
      </c>
      <c r="J99" s="4">
        <v>0.20430000000000001</v>
      </c>
      <c r="M99" s="4">
        <v>3.9600000000000003E-2</v>
      </c>
      <c r="N99" s="4">
        <v>0.22620000000000001</v>
      </c>
      <c r="Q99" s="4">
        <v>4.0599999999999997E-2</v>
      </c>
      <c r="R99" s="4">
        <v>0.22539999999999999</v>
      </c>
      <c r="U99" s="4">
        <v>4.4600000000000001E-2</v>
      </c>
      <c r="V99" s="4">
        <v>0.21179999999999999</v>
      </c>
      <c r="Y99" s="4">
        <v>4.7600000000000003E-2</v>
      </c>
      <c r="Z99" s="4">
        <v>0.19900000000000001</v>
      </c>
      <c r="AB99" s="4">
        <v>3.7400000000000003E-2</v>
      </c>
      <c r="AC99" s="4">
        <v>0.22600000000000001</v>
      </c>
      <c r="AF99" s="4">
        <f>AVERAGE(J99,N99,R99,V99,Z99,AC99)</f>
        <v>0.21545</v>
      </c>
    </row>
    <row r="100" spans="1:32" x14ac:dyDescent="0.25">
      <c r="A100" s="4">
        <v>0.05</v>
      </c>
      <c r="B100" s="4">
        <v>0.1862</v>
      </c>
      <c r="E100" s="4">
        <v>0.05</v>
      </c>
      <c r="F100" s="4">
        <v>0.19220000000000001</v>
      </c>
      <c r="I100" s="4">
        <v>0.05</v>
      </c>
      <c r="M100" s="4">
        <v>0.05</v>
      </c>
      <c r="AF100" s="4">
        <f>AVERAGE(B100,F100)</f>
        <v>0.18920000000000001</v>
      </c>
    </row>
    <row r="101" spans="1:32" x14ac:dyDescent="0.25">
      <c r="A101" s="4"/>
      <c r="B101" s="4"/>
      <c r="E101" s="4"/>
      <c r="F101" s="4"/>
      <c r="I101" s="4">
        <v>6.3500000000000001E-2</v>
      </c>
      <c r="J101" s="4">
        <v>0.16120000000000001</v>
      </c>
      <c r="M101" s="4">
        <v>5.96E-2</v>
      </c>
      <c r="N101" s="4">
        <v>0.1749</v>
      </c>
      <c r="Q101" s="4">
        <v>6.0600000000000001E-2</v>
      </c>
      <c r="R101" s="4">
        <v>0.17460000000000001</v>
      </c>
      <c r="U101" s="4">
        <v>5.96E-2</v>
      </c>
      <c r="V101" s="4">
        <v>0.12889999999999999</v>
      </c>
      <c r="Y101" s="4">
        <v>6.2600000000000003E-2</v>
      </c>
      <c r="Z101" s="4">
        <v>0.1676</v>
      </c>
      <c r="AB101" s="4">
        <v>5.2400000000000002E-2</v>
      </c>
      <c r="AC101" s="4">
        <v>0.186</v>
      </c>
      <c r="AF101" s="4">
        <f>AVERAGE(J101,N101,R101,V101,Z101,AC101)</f>
        <v>0.16553333333333334</v>
      </c>
    </row>
    <row r="102" spans="1:32" x14ac:dyDescent="0.25">
      <c r="A102" s="4">
        <v>7.4999999999999997E-2</v>
      </c>
      <c r="B102" s="4">
        <v>0.1411</v>
      </c>
      <c r="E102" s="4">
        <v>7.4999999999999997E-2</v>
      </c>
      <c r="F102" s="4">
        <v>0.14530000000000001</v>
      </c>
      <c r="I102" s="4">
        <v>7.4999999999999997E-2</v>
      </c>
      <c r="M102" s="4">
        <v>7.4999999999999997E-2</v>
      </c>
      <c r="AB102" s="4">
        <v>7.2400000000000006E-2</v>
      </c>
      <c r="AC102" s="4">
        <v>0.1515</v>
      </c>
      <c r="AF102" s="4">
        <f>AVERAGE(B102,F102,AC102)</f>
        <v>0.14596666666666666</v>
      </c>
    </row>
    <row r="105" spans="1:32" x14ac:dyDescent="0.25">
      <c r="A105" t="s">
        <v>15</v>
      </c>
      <c r="E105" t="s">
        <v>19</v>
      </c>
      <c r="I105" t="s">
        <v>20</v>
      </c>
      <c r="M105" t="s">
        <v>21</v>
      </c>
      <c r="Q105" t="s">
        <v>22</v>
      </c>
      <c r="U105" t="s">
        <v>23</v>
      </c>
      <c r="Y105" t="s">
        <v>24</v>
      </c>
      <c r="AB105" t="s">
        <v>25</v>
      </c>
    </row>
    <row r="106" spans="1:32" x14ac:dyDescent="0.25">
      <c r="A106" s="2" t="s">
        <v>16</v>
      </c>
      <c r="B106" s="5">
        <f>5.5/0.48/3^0.5/0.0575/5.79</f>
        <v>19.870757180940039</v>
      </c>
      <c r="E106" s="2" t="s">
        <v>16</v>
      </c>
      <c r="F106" s="5">
        <f>11/0.48/3^0.5/0.0575/11.06</f>
        <v>20.805006162322389</v>
      </c>
      <c r="I106" s="2" t="s">
        <v>16</v>
      </c>
      <c r="J106">
        <f>30/0.48/3^0.5/0.0575/33.35</f>
        <v>18.817230597406486</v>
      </c>
      <c r="M106" s="2" t="s">
        <v>16</v>
      </c>
      <c r="N106">
        <f>60/0.48/3^0.5/0.0575/61.36</f>
        <v>20.454844863869173</v>
      </c>
      <c r="Q106" s="2" t="s">
        <v>16</v>
      </c>
      <c r="R106">
        <f>110/0.48/3^0.5/0.0575/101.58</f>
        <v>22.652428446080492</v>
      </c>
      <c r="U106" s="2" t="s">
        <v>16</v>
      </c>
      <c r="V106">
        <f>225/0.48/3^0.5/0.0575/244.51</f>
        <v>19.249355049594278</v>
      </c>
      <c r="Y106" s="2" t="s">
        <v>16</v>
      </c>
      <c r="Z106">
        <f>400/0.48/3^0.5/0.0575/402.7</f>
        <v>20.778234928350514</v>
      </c>
      <c r="AB106" s="2" t="s">
        <v>16</v>
      </c>
      <c r="AC106">
        <f>700/0.48/3^0.5/0.0575/683.16</f>
        <v>21.434131989404847</v>
      </c>
      <c r="AF106" s="4" t="s">
        <v>32</v>
      </c>
    </row>
    <row r="107" spans="1:32" x14ac:dyDescent="0.25">
      <c r="A107" s="3" t="s">
        <v>17</v>
      </c>
      <c r="B107" s="3" t="s">
        <v>18</v>
      </c>
      <c r="E107" s="3" t="s">
        <v>17</v>
      </c>
      <c r="F107" s="3" t="s">
        <v>18</v>
      </c>
      <c r="I107" s="3" t="s">
        <v>17</v>
      </c>
      <c r="J107" s="3" t="s">
        <v>18</v>
      </c>
      <c r="M107" s="3" t="s">
        <v>17</v>
      </c>
      <c r="N107" s="3" t="s">
        <v>18</v>
      </c>
      <c r="Q107" s="3" t="s">
        <v>17</v>
      </c>
      <c r="R107" s="3" t="s">
        <v>18</v>
      </c>
      <c r="U107" s="3" t="s">
        <v>17</v>
      </c>
      <c r="V107" s="3" t="s">
        <v>18</v>
      </c>
      <c r="Y107" s="3" t="s">
        <v>17</v>
      </c>
      <c r="Z107" s="3" t="s">
        <v>18</v>
      </c>
      <c r="AB107" s="3" t="s">
        <v>17</v>
      </c>
      <c r="AC107" s="3" t="s">
        <v>18</v>
      </c>
    </row>
    <row r="108" spans="1:32" x14ac:dyDescent="0.25">
      <c r="A108" s="4">
        <v>0</v>
      </c>
      <c r="B108" s="4">
        <v>0.2611</v>
      </c>
      <c r="E108" s="4">
        <v>0</v>
      </c>
      <c r="F108" s="4">
        <v>0.26769999999999999</v>
      </c>
      <c r="I108" s="4">
        <v>0</v>
      </c>
      <c r="M108" s="4">
        <v>0</v>
      </c>
      <c r="AF108" s="4" t="s">
        <v>103</v>
      </c>
    </row>
    <row r="109" spans="1:32" x14ac:dyDescent="0.25">
      <c r="A109" s="4"/>
      <c r="B109" s="4"/>
      <c r="E109" s="4"/>
      <c r="F109" s="4"/>
      <c r="I109" s="4">
        <v>1.35E-2</v>
      </c>
      <c r="J109" s="4">
        <v>0.20949999999999999</v>
      </c>
      <c r="M109" s="4">
        <v>9.5999999999999992E-3</v>
      </c>
      <c r="N109" s="4">
        <v>0.22389999999999999</v>
      </c>
      <c r="Q109" s="4">
        <v>1.06E-2</v>
      </c>
      <c r="R109" s="4">
        <v>0.22159999999999999</v>
      </c>
      <c r="AF109" s="4">
        <f>AVERAGE(R109,N109,J109)</f>
        <v>0.21833333333333335</v>
      </c>
    </row>
    <row r="110" spans="1:32" x14ac:dyDescent="0.25">
      <c r="A110" s="4">
        <v>1.4999999999999999E-2</v>
      </c>
      <c r="B110" s="4">
        <v>0.20219999999999999</v>
      </c>
      <c r="E110" s="4">
        <v>1.4999999999999999E-2</v>
      </c>
      <c r="F110" s="4">
        <v>0.2077</v>
      </c>
      <c r="I110" s="4">
        <v>1.4999999999999999E-2</v>
      </c>
      <c r="M110" s="4">
        <v>1.4999999999999999E-2</v>
      </c>
      <c r="AF110" s="4">
        <f>AVERAGE(B110,F110)</f>
        <v>0.20494999999999999</v>
      </c>
    </row>
    <row r="111" spans="1:32" x14ac:dyDescent="0.25">
      <c r="A111" s="4"/>
      <c r="B111" s="4"/>
      <c r="E111" s="4"/>
      <c r="F111" s="4"/>
      <c r="I111" s="4">
        <v>2.8500000000000001E-2</v>
      </c>
      <c r="J111" s="4">
        <v>0.17230000000000001</v>
      </c>
      <c r="M111" s="4">
        <v>2.46E-2</v>
      </c>
      <c r="N111" s="4">
        <v>0.18240000000000001</v>
      </c>
      <c r="Q111" s="4">
        <v>2.5600000000000001E-2</v>
      </c>
      <c r="R111" s="4">
        <v>0.18099999999999999</v>
      </c>
      <c r="U111" s="4">
        <v>2.9600000000000001E-2</v>
      </c>
      <c r="V111" s="4">
        <v>0.16589999999999999</v>
      </c>
      <c r="AB111" s="4">
        <v>2.24E-2</v>
      </c>
      <c r="AC111" s="4">
        <v>0.1895</v>
      </c>
      <c r="AF111" s="4">
        <f>AVERAGE(J111,N111,R111,V111,AC111)</f>
        <v>0.17821999999999999</v>
      </c>
    </row>
    <row r="112" spans="1:32" x14ac:dyDescent="0.25">
      <c r="A112" s="4">
        <v>0.03</v>
      </c>
      <c r="B112" s="4">
        <v>0.16520000000000001</v>
      </c>
      <c r="E112" s="4">
        <v>0.03</v>
      </c>
      <c r="F112" s="4">
        <v>0.16980000000000001</v>
      </c>
      <c r="I112" s="4">
        <v>0.03</v>
      </c>
      <c r="M112" s="4">
        <v>0.03</v>
      </c>
      <c r="Y112" s="4">
        <v>3.2599999999999997E-2</v>
      </c>
      <c r="Z112" s="4">
        <v>0.16950000000000001</v>
      </c>
      <c r="AF112" s="4">
        <f>AVERAGE(B112,F112,Z112)</f>
        <v>0.16816666666666669</v>
      </c>
    </row>
    <row r="113" spans="1:32" x14ac:dyDescent="0.25">
      <c r="A113" s="4"/>
      <c r="B113" s="4"/>
      <c r="E113" s="4"/>
      <c r="F113" s="4"/>
      <c r="I113" s="4">
        <v>4.3499999999999997E-2</v>
      </c>
      <c r="J113" s="4">
        <v>0.14699999999999999</v>
      </c>
      <c r="M113" s="4">
        <v>3.9600000000000003E-2</v>
      </c>
      <c r="N113" s="4">
        <v>0.15440000000000001</v>
      </c>
      <c r="Q113" s="4">
        <v>4.0599999999999997E-2</v>
      </c>
      <c r="R113" s="4">
        <v>0.15359999999999999</v>
      </c>
      <c r="U113" s="4">
        <v>4.4600000000000001E-2</v>
      </c>
      <c r="V113" s="4">
        <v>0.1434</v>
      </c>
      <c r="Y113" s="4">
        <v>4.7600000000000003E-2</v>
      </c>
      <c r="Z113" s="4">
        <v>0.14610000000000001</v>
      </c>
      <c r="AB113" s="4">
        <v>3.7400000000000003E-2</v>
      </c>
      <c r="AC113" s="4">
        <v>0.16009999999999999</v>
      </c>
      <c r="AF113" s="4">
        <f>AVERAGE(J113,N113,R113,V113,Z113,AC113)</f>
        <v>0.15076666666666666</v>
      </c>
    </row>
    <row r="114" spans="1:32" x14ac:dyDescent="0.25">
      <c r="A114" s="4">
        <v>0.05</v>
      </c>
      <c r="B114" s="4">
        <v>0.13400000000000001</v>
      </c>
      <c r="E114" s="4">
        <v>0.05</v>
      </c>
      <c r="F114" s="4">
        <v>0.1376</v>
      </c>
      <c r="I114" s="4">
        <v>0.05</v>
      </c>
      <c r="M114" s="4">
        <v>0.05</v>
      </c>
      <c r="AF114" s="4">
        <f>AVERAGE(B114,F114)</f>
        <v>0.1358</v>
      </c>
    </row>
    <row r="115" spans="1:32" x14ac:dyDescent="0.25">
      <c r="A115" s="4"/>
      <c r="B115" s="4"/>
      <c r="E115" s="4"/>
      <c r="F115" s="4"/>
      <c r="I115" s="4">
        <v>6.3500000000000001E-2</v>
      </c>
      <c r="J115" s="4">
        <v>0.12479999999999999</v>
      </c>
      <c r="M115" s="4">
        <v>5.96E-2</v>
      </c>
      <c r="N115" s="4">
        <v>0.12959999999999999</v>
      </c>
      <c r="Q115" s="4">
        <v>6.0600000000000001E-2</v>
      </c>
      <c r="R115" s="4">
        <v>0.1293</v>
      </c>
      <c r="U115" s="4">
        <v>5.96E-2</v>
      </c>
      <c r="V115" s="4">
        <v>0.1275</v>
      </c>
      <c r="Y115" s="4">
        <v>6.2600000000000003E-2</v>
      </c>
      <c r="Z115" s="4">
        <v>0.12959999999999999</v>
      </c>
      <c r="AB115" s="4">
        <v>5.2400000000000002E-2</v>
      </c>
      <c r="AC115" s="4">
        <v>0.13950000000000001</v>
      </c>
      <c r="AF115" s="4">
        <f>AVERAGE(J115,N115,R115,V115,Z115,AC115)</f>
        <v>0.13004999999999997</v>
      </c>
    </row>
    <row r="116" spans="1:32" x14ac:dyDescent="0.25">
      <c r="A116" s="4">
        <v>7.4999999999999997E-2</v>
      </c>
      <c r="B116" s="4">
        <v>0.11219999999999999</v>
      </c>
      <c r="E116" s="4">
        <v>7.4999999999999997E-2</v>
      </c>
      <c r="F116" s="4">
        <v>0.11459999999999999</v>
      </c>
      <c r="I116" s="4">
        <v>7.4999999999999997E-2</v>
      </c>
      <c r="M116" s="4">
        <v>7.4999999999999997E-2</v>
      </c>
      <c r="AB116" s="4">
        <v>7.2400000000000006E-2</v>
      </c>
      <c r="AC116" s="4">
        <v>0.121</v>
      </c>
      <c r="AF116" s="4">
        <f>AVERAGE(B116,F116,AC116)</f>
        <v>0.11593333333333333</v>
      </c>
    </row>
  </sheetData>
  <phoneticPr fontId="0" type="noConversion"/>
  <pageMargins left="0.75" right="0.75" top="1" bottom="1" header="0.5" footer="0.5"/>
  <pageSetup orientation="portrait" horizontalDpi="1200" verticalDpi="1200" r:id="rId1"/>
  <headerFooter alignWithMargins="0">
    <oddFooter>&amp;C&amp;1#&amp;"Arial"&amp;6&amp;K626469Internal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autoPageBreaks="0" fitToPage="1"/>
  </sheetPr>
  <dimension ref="B1:BI95"/>
  <sheetViews>
    <sheetView showGridLines="0" showRowColHeaders="0" zoomScaleNormal="100" workbookViewId="0">
      <selection activeCell="F11" sqref="F11:J11"/>
    </sheetView>
  </sheetViews>
  <sheetFormatPr defaultRowHeight="12.5" x14ac:dyDescent="0.25"/>
  <cols>
    <col min="1" max="1" width="3.08984375" customWidth="1"/>
    <col min="2" max="2" width="11.54296875" customWidth="1"/>
    <col min="3" max="3" width="9" customWidth="1"/>
    <col min="4" max="4" width="26" customWidth="1"/>
    <col min="5" max="5" width="11" customWidth="1"/>
    <col min="6" max="6" width="9.54296875" customWidth="1"/>
    <col min="7" max="7" width="16.08984375" customWidth="1"/>
    <col min="8" max="8" width="12.54296875" customWidth="1"/>
    <col min="9" max="9" width="13.36328125" customWidth="1"/>
    <col min="10" max="10" width="12.08984375" customWidth="1"/>
    <col min="11" max="11" width="9.54296875" customWidth="1"/>
    <col min="12" max="14" width="9.08984375" hidden="1" customWidth="1"/>
    <col min="15" max="15" width="16.6328125" style="270" hidden="1" customWidth="1"/>
    <col min="16" max="16" width="39.90625" style="270" hidden="1" customWidth="1"/>
    <col min="17" max="17" width="12.453125" style="237" hidden="1" customWidth="1"/>
    <col min="18" max="18" width="11.453125" style="237" hidden="1" customWidth="1"/>
    <col min="19" max="19" width="9.08984375" style="256" hidden="1" customWidth="1"/>
    <col min="20" max="20" width="9.90625" style="237" hidden="1" customWidth="1"/>
    <col min="21" max="21" width="9.08984375" style="237" hidden="1" customWidth="1"/>
    <col min="22" max="22" width="16.36328125" style="237" hidden="1" customWidth="1"/>
    <col min="23" max="23" width="22.453125" style="269" hidden="1" customWidth="1"/>
    <col min="24" max="24" width="42.90625" style="269" hidden="1" customWidth="1"/>
    <col min="25" max="25" width="9.08984375" style="237" hidden="1" customWidth="1"/>
    <col min="26" max="26" width="13.6328125" style="237" hidden="1" customWidth="1"/>
    <col min="27" max="27" width="9.08984375" style="256" hidden="1" customWidth="1"/>
    <col min="28" max="31" width="9.08984375" style="237" hidden="1" customWidth="1"/>
    <col min="32" max="32" width="9.08984375" hidden="1" customWidth="1"/>
    <col min="33" max="33" width="18.453125" hidden="1" customWidth="1"/>
    <col min="34" max="61" width="9.08984375" hidden="1" customWidth="1"/>
    <col min="62" max="70" width="0" hidden="1" customWidth="1"/>
  </cols>
  <sheetData>
    <row r="1" spans="2:37" s="297" customFormat="1" ht="34.5" customHeight="1" x14ac:dyDescent="0.25">
      <c r="B1" s="961" t="s">
        <v>1052</v>
      </c>
      <c r="C1" s="961"/>
      <c r="D1" s="961"/>
      <c r="E1" s="961"/>
      <c r="F1" s="961"/>
      <c r="G1" s="961"/>
      <c r="H1" s="961"/>
      <c r="I1" s="961"/>
      <c r="J1" s="961"/>
      <c r="N1" s="298"/>
      <c r="O1" s="951" t="s">
        <v>802</v>
      </c>
      <c r="P1" s="953" t="s">
        <v>255</v>
      </c>
      <c r="Q1" s="299"/>
      <c r="R1" s="300"/>
      <c r="S1" s="301"/>
      <c r="T1" s="300"/>
      <c r="U1" s="296" t="s">
        <v>803</v>
      </c>
      <c r="W1" s="951" t="s">
        <v>802</v>
      </c>
      <c r="X1" s="953" t="s">
        <v>255</v>
      </c>
      <c r="Y1" s="299"/>
      <c r="Z1" s="300"/>
      <c r="AA1" s="298"/>
      <c r="AB1" s="300"/>
      <c r="AC1" s="955" t="s">
        <v>804</v>
      </c>
      <c r="AD1" s="956"/>
    </row>
    <row r="2" spans="2:37" ht="29.5" thickBot="1" x14ac:dyDescent="0.35">
      <c r="B2" s="376"/>
      <c r="C2" s="376"/>
      <c r="D2" s="376"/>
      <c r="E2" s="378"/>
      <c r="F2" s="376"/>
      <c r="G2" s="376"/>
      <c r="H2" s="376"/>
      <c r="I2" s="376"/>
      <c r="J2" s="376"/>
      <c r="M2" s="21"/>
      <c r="N2" s="257" t="s">
        <v>805</v>
      </c>
      <c r="O2" s="952"/>
      <c r="P2" s="954"/>
      <c r="Q2" s="258" t="s">
        <v>806</v>
      </c>
      <c r="R2" s="259" t="s">
        <v>807</v>
      </c>
      <c r="T2" s="259" t="s">
        <v>808</v>
      </c>
      <c r="U2" s="259" t="s">
        <v>809</v>
      </c>
      <c r="V2" s="257" t="s">
        <v>805</v>
      </c>
      <c r="W2" s="952"/>
      <c r="X2" s="954"/>
      <c r="Y2" s="258" t="s">
        <v>806</v>
      </c>
      <c r="Z2" s="259" t="s">
        <v>807</v>
      </c>
      <c r="AB2" s="259" t="s">
        <v>808</v>
      </c>
      <c r="AC2" s="259" t="s">
        <v>810</v>
      </c>
      <c r="AD2" s="260" t="s">
        <v>811</v>
      </c>
      <c r="AG2" s="261" t="s">
        <v>812</v>
      </c>
      <c r="AH2" s="262" t="s">
        <v>813</v>
      </c>
    </row>
    <row r="3" spans="2:37" ht="21.5" thickBot="1" x14ac:dyDescent="0.55000000000000004">
      <c r="B3" s="962" t="s">
        <v>199</v>
      </c>
      <c r="C3" s="963"/>
      <c r="D3" s="964" t="str">
        <f>'Model Selector'!C3</f>
        <v/>
      </c>
      <c r="E3" s="965"/>
      <c r="F3" s="965"/>
      <c r="G3" s="966"/>
      <c r="H3" s="588" t="s">
        <v>193</v>
      </c>
      <c r="I3" s="573" t="str">
        <f>'Model Selector'!I3</f>
        <v/>
      </c>
      <c r="J3" s="376"/>
      <c r="M3" s="21"/>
      <c r="N3" s="263">
        <v>200</v>
      </c>
      <c r="O3" s="261" t="s">
        <v>814</v>
      </c>
      <c r="P3" s="262" t="s">
        <v>815</v>
      </c>
      <c r="Q3" s="264" t="s">
        <v>355</v>
      </c>
      <c r="R3" s="265" t="s">
        <v>816</v>
      </c>
      <c r="T3" s="265">
        <v>1</v>
      </c>
      <c r="U3" s="265">
        <v>63</v>
      </c>
      <c r="V3" s="263"/>
      <c r="W3" s="266"/>
      <c r="X3" s="262"/>
      <c r="Y3" s="264"/>
      <c r="Z3" s="265"/>
      <c r="AB3" s="265"/>
      <c r="AC3" s="265"/>
      <c r="AD3" s="267"/>
      <c r="AG3" s="261" t="s">
        <v>817</v>
      </c>
      <c r="AH3" s="262" t="s">
        <v>818</v>
      </c>
    </row>
    <row r="4" spans="2:37" ht="15" thickBot="1" x14ac:dyDescent="0.4">
      <c r="B4" s="376"/>
      <c r="C4" s="376"/>
      <c r="D4" s="376"/>
      <c r="E4" s="378"/>
      <c r="F4" s="376"/>
      <c r="G4" s="376"/>
      <c r="H4" s="376"/>
      <c r="I4" s="376"/>
      <c r="J4" s="376"/>
      <c r="M4" s="21"/>
      <c r="N4" s="263">
        <v>300</v>
      </c>
      <c r="O4" s="261" t="s">
        <v>819</v>
      </c>
      <c r="P4" s="262" t="s">
        <v>820</v>
      </c>
      <c r="Q4" s="264" t="s">
        <v>355</v>
      </c>
      <c r="R4" s="265" t="s">
        <v>816</v>
      </c>
      <c r="T4" s="265">
        <v>1</v>
      </c>
      <c r="U4" s="265">
        <v>63</v>
      </c>
      <c r="V4" s="263"/>
      <c r="W4" s="266"/>
      <c r="X4" s="262"/>
      <c r="Y4" s="264"/>
      <c r="Z4" s="265"/>
      <c r="AB4" s="265"/>
      <c r="AC4" s="265"/>
      <c r="AD4" s="267"/>
      <c r="AG4" s="261" t="s">
        <v>821</v>
      </c>
      <c r="AH4" s="262" t="s">
        <v>822</v>
      </c>
    </row>
    <row r="5" spans="2:37" ht="99" customHeight="1" thickBot="1" x14ac:dyDescent="0.4">
      <c r="B5" s="943" t="s">
        <v>1016</v>
      </c>
      <c r="C5" s="944"/>
      <c r="D5" s="944"/>
      <c r="E5" s="944"/>
      <c r="F5" s="944"/>
      <c r="G5" s="944"/>
      <c r="H5" s="944"/>
      <c r="I5" s="945"/>
      <c r="J5" s="376"/>
      <c r="K5" s="3"/>
      <c r="M5" s="21"/>
      <c r="N5" s="263">
        <v>400</v>
      </c>
      <c r="O5" s="261" t="s">
        <v>823</v>
      </c>
      <c r="P5" s="262" t="s">
        <v>824</v>
      </c>
      <c r="Q5" s="264" t="s">
        <v>355</v>
      </c>
      <c r="R5" s="265" t="s">
        <v>816</v>
      </c>
      <c r="T5" s="265">
        <v>1</v>
      </c>
      <c r="U5" s="265">
        <v>63</v>
      </c>
      <c r="V5" s="263">
        <v>500</v>
      </c>
      <c r="W5" s="266" t="s">
        <v>825</v>
      </c>
      <c r="X5" s="262" t="s">
        <v>826</v>
      </c>
      <c r="Y5" s="264" t="s">
        <v>306</v>
      </c>
      <c r="Z5" s="265" t="s">
        <v>804</v>
      </c>
      <c r="AB5" s="265">
        <v>1</v>
      </c>
      <c r="AC5" s="265">
        <v>69</v>
      </c>
      <c r="AD5" s="267">
        <v>168</v>
      </c>
      <c r="AG5" s="261" t="s">
        <v>827</v>
      </c>
      <c r="AH5" s="262" t="s">
        <v>828</v>
      </c>
    </row>
    <row r="6" spans="2:37" ht="60" customHeight="1" x14ac:dyDescent="0.35">
      <c r="B6" s="950" t="str">
        <f>IF('Model Selector'!D6&lt;=690,"","Since the CT's must be applied at a voltage greater than 690 VAC, this CT selection does not apply.  Consult your Schnedier Electric representative for assistance.")</f>
        <v/>
      </c>
      <c r="C6" s="950"/>
      <c r="D6" s="950"/>
      <c r="E6" s="950"/>
      <c r="F6" s="950"/>
      <c r="G6" s="950"/>
      <c r="H6" s="950"/>
      <c r="I6" s="950"/>
      <c r="J6" s="376"/>
      <c r="M6" s="21"/>
      <c r="N6" s="263"/>
      <c r="O6" s="261"/>
      <c r="P6" s="262"/>
      <c r="Q6" s="264"/>
      <c r="R6" s="265"/>
      <c r="T6" s="265"/>
      <c r="U6" s="265"/>
      <c r="V6" s="263"/>
      <c r="W6" s="266"/>
      <c r="X6" s="262"/>
      <c r="Y6" s="264"/>
      <c r="Z6" s="265"/>
      <c r="AB6" s="265"/>
      <c r="AC6" s="265"/>
      <c r="AD6" s="267"/>
      <c r="AG6" s="261"/>
      <c r="AH6" s="262"/>
    </row>
    <row r="7" spans="2:37" ht="12.75" customHeight="1" x14ac:dyDescent="0.35">
      <c r="B7" s="376"/>
      <c r="C7" s="376"/>
      <c r="D7" s="376"/>
      <c r="E7" s="376"/>
      <c r="F7" s="376"/>
      <c r="G7" s="376"/>
      <c r="H7" s="376"/>
      <c r="I7" s="376"/>
      <c r="J7" s="376"/>
      <c r="M7" s="21"/>
      <c r="N7" s="263">
        <v>500</v>
      </c>
      <c r="O7" s="261" t="s">
        <v>829</v>
      </c>
      <c r="P7" s="262" t="s">
        <v>830</v>
      </c>
      <c r="Q7" s="264" t="s">
        <v>355</v>
      </c>
      <c r="R7" s="265" t="s">
        <v>816</v>
      </c>
      <c r="T7" s="265">
        <v>1</v>
      </c>
      <c r="U7" s="265">
        <v>63</v>
      </c>
      <c r="V7" s="263">
        <v>1000</v>
      </c>
      <c r="W7" s="261" t="s">
        <v>831</v>
      </c>
      <c r="X7" s="262" t="s">
        <v>832</v>
      </c>
      <c r="Y7" s="264" t="s">
        <v>306</v>
      </c>
      <c r="Z7" s="265" t="s">
        <v>804</v>
      </c>
      <c r="AB7" s="265">
        <v>1</v>
      </c>
      <c r="AC7" s="265">
        <v>69</v>
      </c>
      <c r="AD7" s="267">
        <v>168</v>
      </c>
      <c r="AG7" s="261" t="s">
        <v>833</v>
      </c>
      <c r="AH7" s="262" t="s">
        <v>834</v>
      </c>
    </row>
    <row r="8" spans="2:37" ht="15.5" x14ac:dyDescent="0.35">
      <c r="B8" s="803" t="s">
        <v>365</v>
      </c>
      <c r="C8" s="803"/>
      <c r="D8" s="946"/>
      <c r="E8" s="586"/>
      <c r="F8" s="957" t="s">
        <v>1015</v>
      </c>
      <c r="G8" s="958"/>
      <c r="H8" s="574"/>
      <c r="I8" s="376"/>
      <c r="J8" s="376"/>
      <c r="M8" s="21"/>
      <c r="N8" s="263">
        <v>600</v>
      </c>
      <c r="O8" s="261" t="s">
        <v>835</v>
      </c>
      <c r="P8" s="262" t="s">
        <v>836</v>
      </c>
      <c r="Q8" s="264" t="s">
        <v>355</v>
      </c>
      <c r="R8" s="265" t="s">
        <v>816</v>
      </c>
      <c r="T8" s="265">
        <v>1</v>
      </c>
      <c r="U8" s="265">
        <v>63</v>
      </c>
      <c r="V8" s="263">
        <v>1200</v>
      </c>
      <c r="W8" s="261" t="s">
        <v>837</v>
      </c>
      <c r="X8" s="262" t="s">
        <v>838</v>
      </c>
      <c r="Y8" s="264" t="s">
        <v>306</v>
      </c>
      <c r="Z8" s="265" t="s">
        <v>804</v>
      </c>
      <c r="AB8" s="265">
        <v>1</v>
      </c>
      <c r="AC8" s="265">
        <v>69</v>
      </c>
      <c r="AD8" s="267">
        <v>168</v>
      </c>
      <c r="AG8" s="261" t="s">
        <v>839</v>
      </c>
      <c r="AH8" s="262" t="s">
        <v>840</v>
      </c>
    </row>
    <row r="9" spans="2:37" ht="33" customHeight="1" x14ac:dyDescent="0.35">
      <c r="B9" s="803" t="s">
        <v>303</v>
      </c>
      <c r="C9" s="803"/>
      <c r="D9" s="946"/>
      <c r="E9" s="586" t="s">
        <v>841</v>
      </c>
      <c r="F9" s="959" t="str">
        <f>IF(E8="Load","There is no need to enter 'Bus current rating' since the load is selection basis.",IF(E8="Bus",IF(H8=0,"Since 'BUS' has been selected, a value must be entered for 'Bus current rating.'",""),""))</f>
        <v/>
      </c>
      <c r="G9" s="960"/>
      <c r="H9" s="960"/>
      <c r="I9" s="960"/>
      <c r="J9" s="960"/>
      <c r="M9" s="21"/>
      <c r="N9" s="263">
        <v>750</v>
      </c>
      <c r="O9" s="261" t="s">
        <v>842</v>
      </c>
      <c r="P9" s="262" t="s">
        <v>843</v>
      </c>
      <c r="Q9" s="264" t="s">
        <v>355</v>
      </c>
      <c r="R9" s="265" t="s">
        <v>816</v>
      </c>
      <c r="T9" s="265">
        <v>1</v>
      </c>
      <c r="U9" s="265">
        <v>63</v>
      </c>
      <c r="V9" s="263">
        <v>1500</v>
      </c>
      <c r="W9" s="261" t="s">
        <v>844</v>
      </c>
      <c r="X9" s="262" t="s">
        <v>845</v>
      </c>
      <c r="Y9" s="264" t="s">
        <v>306</v>
      </c>
      <c r="Z9" s="265" t="s">
        <v>804</v>
      </c>
      <c r="AB9" s="265">
        <v>1</v>
      </c>
      <c r="AC9" s="265">
        <v>69</v>
      </c>
      <c r="AD9" s="267">
        <v>168</v>
      </c>
      <c r="AG9" s="261" t="s">
        <v>846</v>
      </c>
      <c r="AH9" s="262" t="s">
        <v>847</v>
      </c>
    </row>
    <row r="10" spans="2:37" ht="16.5" customHeight="1" x14ac:dyDescent="0.35">
      <c r="B10" s="303"/>
      <c r="C10" s="807" t="s">
        <v>309</v>
      </c>
      <c r="D10" s="946"/>
      <c r="E10" s="586"/>
      <c r="F10" s="376"/>
      <c r="G10" s="575" t="str">
        <f>IF(E11="busbar","Height (mm):",IF(E11="cable","Diameter (mm):",""))</f>
        <v/>
      </c>
      <c r="H10" s="466"/>
      <c r="I10" s="575" t="str">
        <f>IF(E11="busbar","Width (mm):","")</f>
        <v/>
      </c>
      <c r="J10" s="466"/>
      <c r="M10" s="21"/>
      <c r="N10" s="263">
        <v>800</v>
      </c>
      <c r="O10" s="261" t="s">
        <v>848</v>
      </c>
      <c r="P10" s="262" t="s">
        <v>849</v>
      </c>
      <c r="Q10" s="264" t="s">
        <v>355</v>
      </c>
      <c r="R10" s="265" t="s">
        <v>816</v>
      </c>
      <c r="T10" s="265">
        <v>1</v>
      </c>
      <c r="U10" s="265">
        <v>63</v>
      </c>
      <c r="V10" s="263">
        <v>1601</v>
      </c>
      <c r="W10" s="261" t="s">
        <v>850</v>
      </c>
      <c r="X10" s="262" t="s">
        <v>851</v>
      </c>
      <c r="Y10" s="264" t="s">
        <v>306</v>
      </c>
      <c r="Z10" s="265" t="s">
        <v>804</v>
      </c>
      <c r="AB10" s="265">
        <v>1</v>
      </c>
      <c r="AC10" s="265">
        <v>69</v>
      </c>
      <c r="AD10" s="267">
        <v>168</v>
      </c>
      <c r="AG10" s="261" t="s">
        <v>852</v>
      </c>
      <c r="AH10" s="967" t="s">
        <v>853</v>
      </c>
      <c r="AI10" s="968"/>
      <c r="AJ10" s="968"/>
      <c r="AK10" s="968"/>
    </row>
    <row r="11" spans="2:37" ht="15.5" x14ac:dyDescent="0.35">
      <c r="B11" s="303"/>
      <c r="C11" s="803" t="s">
        <v>310</v>
      </c>
      <c r="D11" s="946"/>
      <c r="E11" s="586"/>
      <c r="F11" s="947" t="str">
        <f>IF(E10="Solid","Maximum internal diameter of a solid core CT is 63 mm.",IF(G10="Height (mm):","Maximum internal height of Rectangular Split Core CT is 279 mm.",IF(G10="Diameter (mm):","Maximum inside diameter of Round Split Core CT is 279 mm.","")))</f>
        <v/>
      </c>
      <c r="G11" s="949"/>
      <c r="H11" s="949"/>
      <c r="I11" s="949"/>
      <c r="J11" s="949"/>
      <c r="K11" s="268"/>
      <c r="M11" s="21"/>
      <c r="N11" s="263">
        <v>1000</v>
      </c>
      <c r="O11" s="261" t="s">
        <v>812</v>
      </c>
      <c r="P11" s="262" t="s">
        <v>813</v>
      </c>
      <c r="Q11" s="264" t="s">
        <v>355</v>
      </c>
      <c r="R11" s="265" t="s">
        <v>816</v>
      </c>
      <c r="T11" s="265">
        <v>1</v>
      </c>
      <c r="U11" s="265">
        <v>63</v>
      </c>
      <c r="V11" s="263"/>
      <c r="W11" s="266"/>
      <c r="X11" s="262"/>
      <c r="Y11" s="264"/>
      <c r="Z11" s="265"/>
      <c r="AB11" s="265"/>
      <c r="AC11" s="265"/>
      <c r="AD11" s="267"/>
      <c r="AG11" s="261" t="s">
        <v>814</v>
      </c>
      <c r="AH11" s="262" t="s">
        <v>815</v>
      </c>
    </row>
    <row r="12" spans="2:37" ht="12.75" customHeight="1" x14ac:dyDescent="0.35">
      <c r="B12" s="303"/>
      <c r="C12" s="803" t="s">
        <v>857</v>
      </c>
      <c r="D12" s="946"/>
      <c r="E12" s="587"/>
      <c r="F12" s="947" t="str">
        <f>IF(I10="Width (mm):","Maximum internal width of Rectangular Split Core CT  is 101 mm.","")</f>
        <v/>
      </c>
      <c r="G12" s="948"/>
      <c r="H12" s="948"/>
      <c r="I12" s="948"/>
      <c r="J12" s="948"/>
      <c r="K12" s="287"/>
      <c r="M12" s="21"/>
      <c r="N12" s="263">
        <v>1200</v>
      </c>
      <c r="O12" s="261" t="s">
        <v>821</v>
      </c>
      <c r="P12" s="262" t="s">
        <v>822</v>
      </c>
      <c r="Q12" s="264" t="s">
        <v>355</v>
      </c>
      <c r="R12" s="265" t="s">
        <v>816</v>
      </c>
      <c r="T12" s="265">
        <v>1</v>
      </c>
      <c r="U12" s="265">
        <v>63</v>
      </c>
      <c r="V12" s="263"/>
      <c r="W12" s="266"/>
      <c r="X12" s="262"/>
      <c r="Y12" s="264"/>
      <c r="Z12" s="265"/>
      <c r="AB12" s="265"/>
      <c r="AC12" s="265"/>
      <c r="AD12" s="267"/>
      <c r="AG12" s="261" t="s">
        <v>819</v>
      </c>
      <c r="AH12" s="262" t="s">
        <v>820</v>
      </c>
    </row>
    <row r="13" spans="2:37" ht="14.5" x14ac:dyDescent="0.35">
      <c r="B13" s="376"/>
      <c r="C13" s="376"/>
      <c r="D13" s="376"/>
      <c r="E13" s="378"/>
      <c r="F13" s="376"/>
      <c r="G13" s="376"/>
      <c r="H13" s="376"/>
      <c r="I13" s="376"/>
      <c r="J13" s="376"/>
      <c r="M13" s="21"/>
      <c r="N13" s="263">
        <v>1500</v>
      </c>
      <c r="O13" s="261" t="s">
        <v>833</v>
      </c>
      <c r="P13" s="262" t="s">
        <v>834</v>
      </c>
      <c r="Q13" s="264" t="s">
        <v>355</v>
      </c>
      <c r="R13" s="265" t="s">
        <v>816</v>
      </c>
      <c r="T13" s="265">
        <v>1</v>
      </c>
      <c r="U13" s="265">
        <v>63</v>
      </c>
      <c r="V13" s="263"/>
      <c r="W13" s="266"/>
      <c r="X13" s="262"/>
      <c r="Y13" s="264"/>
      <c r="Z13" s="265"/>
      <c r="AB13" s="265"/>
      <c r="AC13" s="265"/>
      <c r="AD13" s="267"/>
      <c r="AG13" s="261" t="s">
        <v>862</v>
      </c>
      <c r="AH13" s="262" t="s">
        <v>863</v>
      </c>
    </row>
    <row r="14" spans="2:37" ht="18.5" x14ac:dyDescent="0.35">
      <c r="B14" s="576"/>
      <c r="C14" s="581" t="s">
        <v>864</v>
      </c>
      <c r="D14" s="581"/>
      <c r="E14" s="581"/>
      <c r="F14" s="581"/>
      <c r="G14" s="581"/>
      <c r="H14" s="581"/>
      <c r="I14" s="581"/>
      <c r="J14" s="376"/>
      <c r="M14" s="21"/>
      <c r="N14" s="263">
        <v>1601</v>
      </c>
      <c r="O14" s="261" t="s">
        <v>846</v>
      </c>
      <c r="P14" s="262" t="s">
        <v>847</v>
      </c>
      <c r="Q14" s="264" t="s">
        <v>355</v>
      </c>
      <c r="R14" s="265" t="s">
        <v>816</v>
      </c>
      <c r="T14" s="265">
        <v>1</v>
      </c>
      <c r="U14" s="265">
        <v>63</v>
      </c>
      <c r="V14" s="256"/>
      <c r="AG14" s="261" t="s">
        <v>823</v>
      </c>
      <c r="AH14" s="262" t="s">
        <v>824</v>
      </c>
    </row>
    <row r="15" spans="2:37" ht="18.5" x14ac:dyDescent="0.45">
      <c r="B15" s="577"/>
      <c r="C15" s="582" t="s">
        <v>149</v>
      </c>
      <c r="D15" s="583" t="s">
        <v>254</v>
      </c>
      <c r="E15" s="969" t="s">
        <v>255</v>
      </c>
      <c r="F15" s="969"/>
      <c r="G15" s="969"/>
      <c r="H15" s="969"/>
      <c r="I15" s="969"/>
      <c r="J15" s="376"/>
      <c r="M15" s="21"/>
      <c r="N15" s="256"/>
      <c r="V15" s="256"/>
      <c r="AG15" s="261" t="s">
        <v>865</v>
      </c>
      <c r="AH15" s="262" t="s">
        <v>866</v>
      </c>
    </row>
    <row r="16" spans="2:37" ht="18.5" x14ac:dyDescent="0.45">
      <c r="B16" s="578"/>
      <c r="C16" s="584">
        <f>IF(E9="No",2,3)</f>
        <v>2</v>
      </c>
      <c r="D16" s="585" t="str">
        <f>IF(C16&gt;0,X69,"")</f>
        <v/>
      </c>
      <c r="E16" s="970" t="str">
        <f>IF(D16="","",IF(C16&gt;0,VLOOKUP(D16,AG2:AK75,2)))</f>
        <v/>
      </c>
      <c r="F16" s="970"/>
      <c r="G16" s="970"/>
      <c r="H16" s="970"/>
      <c r="I16" s="970"/>
      <c r="J16" s="376"/>
      <c r="M16" s="21"/>
      <c r="N16" s="256"/>
      <c r="V16" s="256"/>
      <c r="AG16" s="261" t="s">
        <v>829</v>
      </c>
      <c r="AH16" s="262" t="s">
        <v>830</v>
      </c>
    </row>
    <row r="17" spans="2:34" ht="31.5" customHeight="1" thickBot="1" x14ac:dyDescent="0.4">
      <c r="B17" s="579"/>
      <c r="C17" s="380"/>
      <c r="D17" s="971" t="str">
        <f>V80</f>
        <v/>
      </c>
      <c r="E17" s="971"/>
      <c r="F17" s="971"/>
      <c r="G17" s="971"/>
      <c r="H17" s="971"/>
      <c r="I17" s="971"/>
      <c r="J17" s="971"/>
      <c r="M17" s="21"/>
      <c r="N17" s="263">
        <v>300</v>
      </c>
      <c r="O17" s="261" t="s">
        <v>862</v>
      </c>
      <c r="P17" s="262" t="s">
        <v>863</v>
      </c>
      <c r="Q17" s="264" t="s">
        <v>355</v>
      </c>
      <c r="R17" s="265" t="s">
        <v>816</v>
      </c>
      <c r="T17" s="265">
        <v>5</v>
      </c>
      <c r="U17" s="265">
        <v>63</v>
      </c>
      <c r="V17" s="271">
        <v>500</v>
      </c>
      <c r="W17" s="266" t="s">
        <v>867</v>
      </c>
      <c r="X17" s="262" t="s">
        <v>868</v>
      </c>
      <c r="Y17" s="272" t="s">
        <v>306</v>
      </c>
      <c r="Z17" s="273" t="s">
        <v>804</v>
      </c>
      <c r="AB17" s="273">
        <v>5</v>
      </c>
      <c r="AC17" s="265">
        <v>69</v>
      </c>
      <c r="AD17" s="267">
        <v>168</v>
      </c>
      <c r="AG17" s="261" t="s">
        <v>869</v>
      </c>
      <c r="AH17" s="262" t="s">
        <v>870</v>
      </c>
    </row>
    <row r="18" spans="2:34" ht="14.5" x14ac:dyDescent="0.35">
      <c r="B18" s="579"/>
      <c r="C18" s="380"/>
      <c r="D18" s="380"/>
      <c r="E18" s="580"/>
      <c r="F18" s="580"/>
      <c r="G18" s="580"/>
      <c r="H18" s="580"/>
      <c r="I18" s="580"/>
      <c r="J18" s="376"/>
      <c r="M18" s="21"/>
      <c r="N18" s="263">
        <v>400</v>
      </c>
      <c r="O18" s="261" t="s">
        <v>865</v>
      </c>
      <c r="P18" s="262" t="s">
        <v>866</v>
      </c>
      <c r="Q18" s="264" t="s">
        <v>355</v>
      </c>
      <c r="R18" s="265" t="s">
        <v>816</v>
      </c>
      <c r="T18" s="265">
        <v>5</v>
      </c>
      <c r="U18" s="265">
        <v>63</v>
      </c>
      <c r="V18" s="263">
        <v>1000</v>
      </c>
      <c r="W18" s="261" t="s">
        <v>871</v>
      </c>
      <c r="X18" s="262" t="s">
        <v>872</v>
      </c>
      <c r="Y18" s="264" t="s">
        <v>306</v>
      </c>
      <c r="Z18" s="265" t="s">
        <v>804</v>
      </c>
      <c r="AB18" s="265">
        <v>5</v>
      </c>
      <c r="AC18" s="265">
        <v>69</v>
      </c>
      <c r="AD18" s="267">
        <v>168</v>
      </c>
      <c r="AG18" s="261" t="s">
        <v>835</v>
      </c>
      <c r="AH18" s="262" t="s">
        <v>836</v>
      </c>
    </row>
    <row r="19" spans="2:34" ht="32.25" customHeight="1" x14ac:dyDescent="0.35">
      <c r="B19" s="934" t="s">
        <v>1051</v>
      </c>
      <c r="C19" s="935"/>
      <c r="D19" s="935"/>
      <c r="E19" s="935"/>
      <c r="F19" s="935"/>
      <c r="G19" s="935"/>
      <c r="H19" s="935"/>
      <c r="I19" s="935"/>
      <c r="J19" s="936"/>
      <c r="M19" s="21"/>
      <c r="N19" s="263">
        <v>500</v>
      </c>
      <c r="O19" s="261" t="s">
        <v>869</v>
      </c>
      <c r="P19" s="262" t="s">
        <v>870</v>
      </c>
      <c r="Q19" s="264" t="s">
        <v>355</v>
      </c>
      <c r="R19" s="265" t="s">
        <v>816</v>
      </c>
      <c r="T19" s="265">
        <v>5</v>
      </c>
      <c r="U19" s="265">
        <v>63</v>
      </c>
      <c r="V19" s="263">
        <v>1200</v>
      </c>
      <c r="W19" s="261" t="s">
        <v>873</v>
      </c>
      <c r="X19" s="262" t="s">
        <v>874</v>
      </c>
      <c r="Y19" s="264" t="s">
        <v>306</v>
      </c>
      <c r="Z19" s="265" t="s">
        <v>804</v>
      </c>
      <c r="AB19" s="265">
        <v>5</v>
      </c>
      <c r="AC19" s="265">
        <v>69</v>
      </c>
      <c r="AD19" s="267">
        <v>168</v>
      </c>
      <c r="AG19" s="261" t="s">
        <v>875</v>
      </c>
      <c r="AH19" s="262" t="s">
        <v>876</v>
      </c>
    </row>
    <row r="20" spans="2:34" ht="31.5" customHeight="1" x14ac:dyDescent="0.35">
      <c r="B20" s="934" t="s">
        <v>877</v>
      </c>
      <c r="C20" s="935"/>
      <c r="D20" s="935"/>
      <c r="E20" s="935"/>
      <c r="F20" s="935"/>
      <c r="G20" s="935"/>
      <c r="H20" s="935"/>
      <c r="I20" s="935"/>
      <c r="J20" s="936"/>
      <c r="M20" s="21"/>
      <c r="N20" s="263">
        <v>600</v>
      </c>
      <c r="O20" s="261" t="s">
        <v>875</v>
      </c>
      <c r="P20" s="262" t="s">
        <v>876</v>
      </c>
      <c r="Q20" s="264" t="s">
        <v>355</v>
      </c>
      <c r="R20" s="265" t="s">
        <v>816</v>
      </c>
      <c r="T20" s="265">
        <v>5</v>
      </c>
      <c r="U20" s="265">
        <v>63</v>
      </c>
      <c r="V20" s="263">
        <v>1500</v>
      </c>
      <c r="W20" s="261" t="s">
        <v>878</v>
      </c>
      <c r="X20" s="262" t="s">
        <v>879</v>
      </c>
      <c r="Y20" s="264" t="s">
        <v>306</v>
      </c>
      <c r="Z20" s="265" t="s">
        <v>804</v>
      </c>
      <c r="AB20" s="265">
        <v>5</v>
      </c>
      <c r="AC20" s="265">
        <v>69</v>
      </c>
      <c r="AD20" s="267">
        <v>168</v>
      </c>
      <c r="AG20" s="261" t="s">
        <v>842</v>
      </c>
      <c r="AH20" s="262" t="s">
        <v>843</v>
      </c>
    </row>
    <row r="21" spans="2:34" ht="106.5" customHeight="1" thickBot="1" x14ac:dyDescent="0.4">
      <c r="B21" s="937" t="s">
        <v>1053</v>
      </c>
      <c r="C21" s="938"/>
      <c r="D21" s="938"/>
      <c r="E21" s="938"/>
      <c r="F21" s="938"/>
      <c r="G21" s="938"/>
      <c r="H21" s="938"/>
      <c r="I21" s="938"/>
      <c r="J21" s="939"/>
      <c r="M21" s="21"/>
      <c r="N21" s="263">
        <v>750</v>
      </c>
      <c r="O21" s="261" t="s">
        <v>880</v>
      </c>
      <c r="P21" s="262" t="s">
        <v>881</v>
      </c>
      <c r="Q21" s="264" t="s">
        <v>355</v>
      </c>
      <c r="R21" s="265" t="s">
        <v>816</v>
      </c>
      <c r="T21" s="265">
        <v>5</v>
      </c>
      <c r="U21" s="265">
        <v>63</v>
      </c>
      <c r="V21" s="263">
        <v>1600</v>
      </c>
      <c r="W21" s="261" t="s">
        <v>882</v>
      </c>
      <c r="X21" s="262" t="s">
        <v>883</v>
      </c>
      <c r="Y21" s="264" t="s">
        <v>306</v>
      </c>
      <c r="Z21" s="265" t="s">
        <v>804</v>
      </c>
      <c r="AB21" s="265">
        <v>5</v>
      </c>
      <c r="AC21" s="265">
        <v>69</v>
      </c>
      <c r="AD21" s="267">
        <v>168</v>
      </c>
      <c r="AG21" s="261" t="s">
        <v>880</v>
      </c>
      <c r="AH21" s="262" t="s">
        <v>881</v>
      </c>
    </row>
    <row r="22" spans="2:34" ht="75" customHeight="1" thickBot="1" x14ac:dyDescent="0.4">
      <c r="B22" s="940" t="s">
        <v>1014</v>
      </c>
      <c r="C22" s="941"/>
      <c r="D22" s="941"/>
      <c r="E22" s="941"/>
      <c r="F22" s="941"/>
      <c r="G22" s="941"/>
      <c r="H22" s="941"/>
      <c r="I22" s="941"/>
      <c r="J22" s="942"/>
      <c r="N22" s="263">
        <v>800</v>
      </c>
      <c r="O22" s="261" t="s">
        <v>884</v>
      </c>
      <c r="P22" s="262" t="s">
        <v>885</v>
      </c>
      <c r="Q22" s="264" t="s">
        <v>355</v>
      </c>
      <c r="R22" s="265" t="s">
        <v>816</v>
      </c>
      <c r="T22" s="265">
        <v>5</v>
      </c>
      <c r="U22" s="265">
        <v>63</v>
      </c>
      <c r="V22" s="263">
        <v>2000</v>
      </c>
      <c r="W22" s="261" t="s">
        <v>886</v>
      </c>
      <c r="X22" s="262" t="s">
        <v>887</v>
      </c>
      <c r="Y22" s="264" t="s">
        <v>306</v>
      </c>
      <c r="Z22" s="265" t="s">
        <v>804</v>
      </c>
      <c r="AB22" s="265">
        <v>5</v>
      </c>
      <c r="AC22" s="265">
        <v>69</v>
      </c>
      <c r="AD22" s="267">
        <v>168</v>
      </c>
      <c r="AG22" s="261" t="s">
        <v>848</v>
      </c>
      <c r="AH22" s="262" t="s">
        <v>849</v>
      </c>
    </row>
    <row r="23" spans="2:34" ht="14.5" x14ac:dyDescent="0.35">
      <c r="B23" s="376"/>
      <c r="C23" s="376"/>
      <c r="D23" s="376"/>
      <c r="E23" s="376"/>
      <c r="F23" s="376"/>
      <c r="G23" s="376"/>
      <c r="H23" s="376"/>
      <c r="I23" s="376"/>
      <c r="J23" s="376"/>
      <c r="N23" s="263">
        <v>1000</v>
      </c>
      <c r="O23" s="261" t="s">
        <v>817</v>
      </c>
      <c r="P23" s="262" t="s">
        <v>818</v>
      </c>
      <c r="Q23" s="264" t="s">
        <v>355</v>
      </c>
      <c r="R23" s="265" t="s">
        <v>816</v>
      </c>
      <c r="T23" s="265">
        <v>5</v>
      </c>
      <c r="U23" s="265">
        <v>63</v>
      </c>
      <c r="V23" s="263">
        <v>3001</v>
      </c>
      <c r="W23" s="266" t="s">
        <v>890</v>
      </c>
      <c r="X23" s="262" t="s">
        <v>891</v>
      </c>
      <c r="Y23" s="264" t="s">
        <v>306</v>
      </c>
      <c r="Z23" s="265" t="s">
        <v>804</v>
      </c>
      <c r="AB23" s="265">
        <v>5</v>
      </c>
      <c r="AC23" s="265">
        <v>69</v>
      </c>
      <c r="AD23" s="267">
        <v>168</v>
      </c>
      <c r="AG23" s="261" t="s">
        <v>884</v>
      </c>
      <c r="AH23" s="262" t="s">
        <v>885</v>
      </c>
    </row>
    <row r="24" spans="2:34" ht="15.5" x14ac:dyDescent="0.35">
      <c r="B24" s="682" t="s">
        <v>361</v>
      </c>
      <c r="C24" s="682"/>
      <c r="D24" s="682"/>
      <c r="E24" s="682"/>
      <c r="F24" s="682"/>
      <c r="G24" s="682"/>
      <c r="H24" s="682"/>
      <c r="I24" s="682"/>
      <c r="J24" s="682"/>
      <c r="N24" s="263">
        <v>1200</v>
      </c>
      <c r="O24" s="261" t="s">
        <v>827</v>
      </c>
      <c r="P24" s="262" t="s">
        <v>828</v>
      </c>
      <c r="Q24" s="264" t="s">
        <v>355</v>
      </c>
      <c r="R24" s="265" t="s">
        <v>816</v>
      </c>
      <c r="T24" s="265">
        <v>5</v>
      </c>
      <c r="U24" s="265">
        <v>63</v>
      </c>
      <c r="AG24" s="261" t="s">
        <v>892</v>
      </c>
      <c r="AH24" s="262" t="s">
        <v>893</v>
      </c>
    </row>
    <row r="25" spans="2:34" ht="14.5" x14ac:dyDescent="0.35">
      <c r="N25" s="263">
        <v>1500</v>
      </c>
      <c r="O25" s="261" t="s">
        <v>839</v>
      </c>
      <c r="P25" s="262" t="s">
        <v>840</v>
      </c>
      <c r="Q25" s="264" t="s">
        <v>355</v>
      </c>
      <c r="R25" s="265" t="s">
        <v>816</v>
      </c>
      <c r="T25" s="265">
        <v>5</v>
      </c>
      <c r="U25" s="265">
        <v>63</v>
      </c>
      <c r="V25" s="256"/>
      <c r="AG25" s="261" t="s">
        <v>894</v>
      </c>
      <c r="AH25" s="262" t="s">
        <v>895</v>
      </c>
    </row>
    <row r="26" spans="2:34" ht="15" customHeight="1" x14ac:dyDescent="0.35">
      <c r="N26" s="263">
        <v>1601</v>
      </c>
      <c r="O26" s="261" t="s">
        <v>852</v>
      </c>
      <c r="P26" s="274" t="s">
        <v>853</v>
      </c>
      <c r="Q26" s="264" t="s">
        <v>355</v>
      </c>
      <c r="R26" s="265" t="s">
        <v>816</v>
      </c>
      <c r="T26" s="265">
        <v>5</v>
      </c>
      <c r="U26" s="265">
        <v>63</v>
      </c>
      <c r="V26" s="256"/>
      <c r="AG26" s="261" t="s">
        <v>896</v>
      </c>
      <c r="AH26" s="262" t="s">
        <v>897</v>
      </c>
    </row>
    <row r="27" spans="2:34" ht="15" customHeight="1" x14ac:dyDescent="0.3">
      <c r="V27" s="256"/>
      <c r="AG27" s="261" t="s">
        <v>898</v>
      </c>
      <c r="AH27" s="262" t="s">
        <v>899</v>
      </c>
    </row>
    <row r="28" spans="2:34" ht="15" customHeight="1" x14ac:dyDescent="0.35">
      <c r="C28" s="275"/>
      <c r="D28" s="275"/>
      <c r="E28" s="275"/>
      <c r="F28" s="275"/>
      <c r="G28" s="275"/>
      <c r="H28" s="275"/>
      <c r="I28" s="275"/>
      <c r="J28" s="275"/>
      <c r="N28" s="263">
        <v>500</v>
      </c>
      <c r="O28" s="266" t="s">
        <v>900</v>
      </c>
      <c r="P28" s="262" t="s">
        <v>901</v>
      </c>
      <c r="Q28" s="264" t="s">
        <v>306</v>
      </c>
      <c r="R28" s="265" t="s">
        <v>816</v>
      </c>
      <c r="T28" s="265">
        <v>1</v>
      </c>
      <c r="U28" s="265">
        <v>101</v>
      </c>
      <c r="V28" s="263">
        <v>2501</v>
      </c>
      <c r="W28" s="266" t="s">
        <v>902</v>
      </c>
      <c r="X28" s="262" t="s">
        <v>903</v>
      </c>
      <c r="Y28" s="264" t="s">
        <v>306</v>
      </c>
      <c r="Z28" s="265" t="s">
        <v>804</v>
      </c>
      <c r="AB28" s="265">
        <v>1</v>
      </c>
      <c r="AC28" s="265">
        <v>101</v>
      </c>
      <c r="AD28" s="267">
        <v>279</v>
      </c>
      <c r="AG28" s="261" t="s">
        <v>904</v>
      </c>
      <c r="AH28" s="262" t="s">
        <v>905</v>
      </c>
    </row>
    <row r="29" spans="2:34" ht="15" customHeight="1" x14ac:dyDescent="0.35">
      <c r="N29" s="263">
        <v>1001</v>
      </c>
      <c r="O29" s="261" t="s">
        <v>898</v>
      </c>
      <c r="P29" s="262" t="s">
        <v>899</v>
      </c>
      <c r="Q29" s="264" t="s">
        <v>306</v>
      </c>
      <c r="R29" s="265" t="s">
        <v>816</v>
      </c>
      <c r="T29" s="265">
        <v>1</v>
      </c>
      <c r="U29" s="265">
        <v>101</v>
      </c>
      <c r="V29" s="263"/>
      <c r="W29" s="266"/>
      <c r="X29" s="262"/>
      <c r="Y29" s="264"/>
      <c r="Z29" s="265"/>
      <c r="AB29" s="265"/>
      <c r="AC29" s="265"/>
      <c r="AD29" s="267"/>
      <c r="AG29" s="261" t="s">
        <v>831</v>
      </c>
      <c r="AH29" s="262" t="s">
        <v>832</v>
      </c>
    </row>
    <row r="30" spans="2:34" ht="15" customHeight="1" x14ac:dyDescent="0.35">
      <c r="V30" s="263"/>
      <c r="W30" s="266"/>
      <c r="X30" s="262"/>
      <c r="Y30" s="264"/>
      <c r="Z30" s="265"/>
      <c r="AB30" s="265"/>
      <c r="AC30" s="265"/>
      <c r="AD30" s="267"/>
      <c r="AG30" s="261" t="s">
        <v>910</v>
      </c>
      <c r="AH30" s="262" t="s">
        <v>911</v>
      </c>
    </row>
    <row r="31" spans="2:34" ht="15" customHeight="1" x14ac:dyDescent="0.35">
      <c r="N31" s="263">
        <v>500</v>
      </c>
      <c r="O31" s="261" t="s">
        <v>1008</v>
      </c>
      <c r="P31" s="262" t="s">
        <v>1009</v>
      </c>
      <c r="Q31" s="264" t="s">
        <v>306</v>
      </c>
      <c r="R31" s="265" t="s">
        <v>816</v>
      </c>
      <c r="T31" s="265">
        <v>1</v>
      </c>
      <c r="U31" s="265">
        <v>152</v>
      </c>
      <c r="V31" s="263"/>
      <c r="W31" s="266"/>
      <c r="X31" s="262"/>
      <c r="Y31" s="264"/>
      <c r="Z31" s="265"/>
      <c r="AB31" s="265"/>
      <c r="AC31" s="265"/>
      <c r="AD31" s="267"/>
      <c r="AG31" s="261" t="s">
        <v>871</v>
      </c>
      <c r="AH31" s="262" t="s">
        <v>872</v>
      </c>
    </row>
    <row r="32" spans="2:34" ht="15" customHeight="1" x14ac:dyDescent="0.35">
      <c r="N32" s="263">
        <v>1000</v>
      </c>
      <c r="O32" s="261" t="s">
        <v>904</v>
      </c>
      <c r="P32" s="262" t="s">
        <v>905</v>
      </c>
      <c r="Q32" s="264" t="s">
        <v>306</v>
      </c>
      <c r="R32" s="265" t="s">
        <v>816</v>
      </c>
      <c r="T32" s="265">
        <v>1</v>
      </c>
      <c r="U32" s="265">
        <v>152</v>
      </c>
      <c r="V32" s="263"/>
      <c r="W32" s="266"/>
      <c r="X32" s="262"/>
      <c r="Y32" s="264"/>
      <c r="Z32" s="265"/>
      <c r="AB32" s="265"/>
      <c r="AC32" s="265"/>
      <c r="AD32" s="267"/>
      <c r="AG32" s="261" t="s">
        <v>837</v>
      </c>
      <c r="AH32" s="262" t="s">
        <v>838</v>
      </c>
    </row>
    <row r="33" spans="14:34" ht="14.5" x14ac:dyDescent="0.35">
      <c r="N33" s="263">
        <v>1500</v>
      </c>
      <c r="O33" s="261" t="s">
        <v>914</v>
      </c>
      <c r="P33" s="262" t="s">
        <v>915</v>
      </c>
      <c r="Q33" s="264" t="s">
        <v>306</v>
      </c>
      <c r="R33" s="265" t="s">
        <v>816</v>
      </c>
      <c r="T33" s="265">
        <v>1</v>
      </c>
      <c r="U33" s="265">
        <v>152</v>
      </c>
      <c r="V33" s="256"/>
      <c r="AG33" s="261" t="s">
        <v>918</v>
      </c>
      <c r="AH33" s="262" t="s">
        <v>919</v>
      </c>
    </row>
    <row r="34" spans="14:34" ht="14.5" x14ac:dyDescent="0.35">
      <c r="N34" s="263">
        <v>2001</v>
      </c>
      <c r="O34" s="261" t="s">
        <v>916</v>
      </c>
      <c r="P34" s="262" t="s">
        <v>917</v>
      </c>
      <c r="Q34" s="264" t="s">
        <v>306</v>
      </c>
      <c r="R34" s="265" t="s">
        <v>816</v>
      </c>
      <c r="T34" s="265">
        <v>1</v>
      </c>
      <c r="U34" s="265">
        <v>152</v>
      </c>
      <c r="V34" s="256"/>
      <c r="AG34" s="261" t="s">
        <v>873</v>
      </c>
      <c r="AH34" s="262" t="s">
        <v>874</v>
      </c>
    </row>
    <row r="35" spans="14:34" ht="16.5" customHeight="1" x14ac:dyDescent="0.35">
      <c r="N35" s="263"/>
      <c r="O35" s="266"/>
      <c r="P35" s="262"/>
      <c r="Q35" s="264"/>
      <c r="R35" s="265"/>
      <c r="T35" s="265">
        <v>1</v>
      </c>
      <c r="U35" s="265">
        <v>152</v>
      </c>
      <c r="V35" s="263"/>
      <c r="W35" s="266"/>
      <c r="X35" s="262"/>
      <c r="Y35" s="264"/>
      <c r="Z35" s="265"/>
      <c r="AB35" s="265"/>
      <c r="AC35" s="265"/>
      <c r="AD35" s="267"/>
      <c r="AG35" s="261" t="s">
        <v>924</v>
      </c>
      <c r="AH35" s="262" t="s">
        <v>925</v>
      </c>
    </row>
    <row r="36" spans="14:34" ht="19.5" customHeight="1" x14ac:dyDescent="0.35">
      <c r="V36" s="263">
        <v>2500</v>
      </c>
      <c r="W36" s="266" t="s">
        <v>926</v>
      </c>
      <c r="X36" s="262" t="s">
        <v>927</v>
      </c>
      <c r="Y36" s="264" t="s">
        <v>306</v>
      </c>
      <c r="Z36" s="265" t="s">
        <v>804</v>
      </c>
      <c r="AB36" s="265">
        <v>5</v>
      </c>
      <c r="AC36" s="265">
        <v>101</v>
      </c>
      <c r="AD36" s="267">
        <v>279</v>
      </c>
      <c r="AG36" s="261" t="s">
        <v>914</v>
      </c>
      <c r="AH36" s="262" t="s">
        <v>915</v>
      </c>
    </row>
    <row r="37" spans="14:34" ht="19.5" customHeight="1" x14ac:dyDescent="0.35">
      <c r="N37" s="263"/>
      <c r="O37" s="261"/>
      <c r="P37" s="262"/>
      <c r="Q37" s="264"/>
      <c r="R37" s="265"/>
      <c r="T37" s="265">
        <v>1</v>
      </c>
      <c r="U37" s="265">
        <v>203</v>
      </c>
      <c r="V37" s="263">
        <v>3000</v>
      </c>
      <c r="W37" s="266" t="s">
        <v>930</v>
      </c>
      <c r="X37" s="262" t="s">
        <v>931</v>
      </c>
      <c r="Y37" s="264" t="s">
        <v>306</v>
      </c>
      <c r="Z37" s="265" t="s">
        <v>804</v>
      </c>
      <c r="AB37" s="265">
        <v>5</v>
      </c>
      <c r="AC37" s="265">
        <v>101</v>
      </c>
      <c r="AD37" s="267">
        <v>279</v>
      </c>
      <c r="AG37" s="261" t="s">
        <v>928</v>
      </c>
      <c r="AH37" s="262" t="s">
        <v>929</v>
      </c>
    </row>
    <row r="38" spans="14:34" ht="31.5" customHeight="1" x14ac:dyDescent="0.35">
      <c r="N38" s="263">
        <v>2000</v>
      </c>
      <c r="O38" s="261" t="s">
        <v>932</v>
      </c>
      <c r="P38" s="276" t="s">
        <v>933</v>
      </c>
      <c r="Q38" s="264" t="s">
        <v>306</v>
      </c>
      <c r="R38" s="265" t="s">
        <v>816</v>
      </c>
      <c r="T38" s="265">
        <v>1</v>
      </c>
      <c r="U38" s="265">
        <v>203</v>
      </c>
      <c r="V38" s="263">
        <v>4000</v>
      </c>
      <c r="W38" s="266" t="s">
        <v>934</v>
      </c>
      <c r="X38" s="262" t="s">
        <v>935</v>
      </c>
      <c r="Y38" s="264" t="s">
        <v>306</v>
      </c>
      <c r="Z38" s="265" t="s">
        <v>804</v>
      </c>
      <c r="AB38" s="265">
        <v>5</v>
      </c>
      <c r="AC38" s="265">
        <v>101</v>
      </c>
      <c r="AD38" s="267">
        <v>279</v>
      </c>
      <c r="AG38" s="261" t="s">
        <v>844</v>
      </c>
      <c r="AH38" s="262" t="s">
        <v>845</v>
      </c>
    </row>
    <row r="39" spans="14:34" ht="27.75" customHeight="1" x14ac:dyDescent="0.35">
      <c r="N39" s="263">
        <v>2501</v>
      </c>
      <c r="O39" s="266" t="s">
        <v>1010</v>
      </c>
      <c r="P39" s="262" t="s">
        <v>1011</v>
      </c>
      <c r="Q39" s="264" t="s">
        <v>306</v>
      </c>
      <c r="R39" s="265" t="s">
        <v>816</v>
      </c>
      <c r="T39" s="265">
        <v>1</v>
      </c>
      <c r="U39" s="265">
        <v>203</v>
      </c>
      <c r="V39" s="263">
        <v>5001</v>
      </c>
      <c r="W39" s="266" t="s">
        <v>938</v>
      </c>
      <c r="X39" s="262" t="s">
        <v>939</v>
      </c>
      <c r="Y39" s="264" t="s">
        <v>306</v>
      </c>
      <c r="Z39" s="265" t="s">
        <v>804</v>
      </c>
      <c r="AB39" s="265">
        <v>5</v>
      </c>
      <c r="AC39" s="265">
        <v>101</v>
      </c>
      <c r="AD39" s="267">
        <v>279</v>
      </c>
      <c r="AG39" s="261" t="s">
        <v>940</v>
      </c>
      <c r="AH39" s="262" t="s">
        <v>941</v>
      </c>
    </row>
    <row r="40" spans="14:34" ht="26.25" customHeight="1" x14ac:dyDescent="0.35">
      <c r="N40" s="263"/>
      <c r="O40" s="266"/>
      <c r="P40" s="262"/>
      <c r="Q40" s="264"/>
      <c r="R40" s="265"/>
      <c r="T40" s="265">
        <v>1</v>
      </c>
      <c r="U40" s="265">
        <v>203</v>
      </c>
      <c r="AG40" s="261" t="s">
        <v>878</v>
      </c>
      <c r="AH40" s="262" t="s">
        <v>879</v>
      </c>
    </row>
    <row r="41" spans="14:34" ht="33" customHeight="1" x14ac:dyDescent="0.3">
      <c r="N41" s="256"/>
      <c r="AG41" s="261" t="s">
        <v>850</v>
      </c>
      <c r="AH41" s="262" t="s">
        <v>851</v>
      </c>
    </row>
    <row r="42" spans="14:34" ht="40.5" customHeight="1" x14ac:dyDescent="0.35">
      <c r="N42" s="263">
        <v>2501</v>
      </c>
      <c r="O42" s="261" t="s">
        <v>1012</v>
      </c>
      <c r="P42" s="262" t="s">
        <v>1013</v>
      </c>
      <c r="Q42" s="264" t="s">
        <v>306</v>
      </c>
      <c r="R42" s="265" t="s">
        <v>816</v>
      </c>
      <c r="T42" s="265">
        <v>1</v>
      </c>
      <c r="U42" s="265">
        <v>279</v>
      </c>
      <c r="AG42" s="261" t="s">
        <v>944</v>
      </c>
      <c r="AH42" s="262" t="s">
        <v>945</v>
      </c>
    </row>
    <row r="43" spans="14:34" ht="51.75" customHeight="1" x14ac:dyDescent="0.3">
      <c r="N43" s="256"/>
      <c r="AG43" s="261" t="s">
        <v>882</v>
      </c>
      <c r="AH43" s="262" t="s">
        <v>883</v>
      </c>
    </row>
    <row r="44" spans="14:34" ht="14.5" x14ac:dyDescent="0.35">
      <c r="N44" s="263">
        <v>500</v>
      </c>
      <c r="O44" s="266" t="s">
        <v>946</v>
      </c>
      <c r="P44" s="262" t="s">
        <v>947</v>
      </c>
      <c r="Q44" s="264" t="s">
        <v>306</v>
      </c>
      <c r="R44" s="265" t="s">
        <v>816</v>
      </c>
      <c r="T44" s="265">
        <v>5</v>
      </c>
      <c r="U44" s="265">
        <v>101</v>
      </c>
      <c r="V44" s="237" t="s">
        <v>948</v>
      </c>
      <c r="W44" s="269" t="str">
        <f>IF(E10="SOLID",IF(E8="load",'AccuSine Sizing Tool'!E56,IF('CT Selector'!E8="Bus",'CT Selector'!H8,0)),"")</f>
        <v/>
      </c>
      <c r="AG44" s="261" t="s">
        <v>916</v>
      </c>
      <c r="AH44" s="262" t="s">
        <v>917</v>
      </c>
    </row>
    <row r="45" spans="14:34" ht="14.5" x14ac:dyDescent="0.35">
      <c r="N45" s="263">
        <v>1000</v>
      </c>
      <c r="O45" s="261" t="s">
        <v>910</v>
      </c>
      <c r="P45" s="262" t="s">
        <v>911</v>
      </c>
      <c r="Q45" s="264" t="s">
        <v>306</v>
      </c>
      <c r="R45" s="265" t="s">
        <v>816</v>
      </c>
      <c r="T45" s="265">
        <v>5</v>
      </c>
      <c r="U45" s="265">
        <v>101</v>
      </c>
      <c r="V45" s="237" t="s">
        <v>949</v>
      </c>
      <c r="W45" s="269" t="b">
        <f>IF(E10="Split",IF(E8="Load",'AccuSine Sizing Tool'!E56,IF('CT Selector'!E8="Bus",H8,"")))</f>
        <v>0</v>
      </c>
      <c r="AG45" s="261" t="s">
        <v>932</v>
      </c>
      <c r="AH45" s="276" t="s">
        <v>933</v>
      </c>
    </row>
    <row r="46" spans="14:34" ht="14.5" x14ac:dyDescent="0.35">
      <c r="N46" s="263">
        <v>1500</v>
      </c>
      <c r="O46" s="261" t="s">
        <v>940</v>
      </c>
      <c r="P46" s="262" t="s">
        <v>941</v>
      </c>
      <c r="Q46" s="264" t="s">
        <v>306</v>
      </c>
      <c r="R46" s="265" t="s">
        <v>816</v>
      </c>
      <c r="T46" s="265">
        <v>5</v>
      </c>
      <c r="U46" s="265">
        <v>101</v>
      </c>
      <c r="V46" s="237" t="s">
        <v>950</v>
      </c>
      <c r="W46" s="269" t="b">
        <f>IF(E10="Split",IF(E8="Load",'AccuSine Sizing Tool'!E56,IF('CT Selector'!E8="Bus",IF(H8&lt;=500,501,IF(H8&lt;=1000,1001,IF(H8&lt;=1200,1201,IF(H8&lt;=1500,1501,IF(H8&lt;=1600,1600,IF(H8&lt;=2000,2001,IF(H8&lt;=3000,3001,IF(H8&lt;=4000,4001,IF(H8&lt;=5000,5001,IF(H8&lt;=5500,7501,0)))))))))))))</f>
        <v>0</v>
      </c>
      <c r="Y46" s="237" t="s">
        <v>302</v>
      </c>
      <c r="Z46" s="237" t="s">
        <v>951</v>
      </c>
      <c r="AA46" s="256" t="s">
        <v>308</v>
      </c>
      <c r="AB46" s="237" t="s">
        <v>952</v>
      </c>
      <c r="AC46" s="237">
        <v>1</v>
      </c>
      <c r="AG46" s="266" t="s">
        <v>855</v>
      </c>
      <c r="AH46" s="262" t="s">
        <v>856</v>
      </c>
    </row>
    <row r="47" spans="14:34" ht="14.5" x14ac:dyDescent="0.35">
      <c r="N47" s="263">
        <v>1601</v>
      </c>
      <c r="O47" s="261" t="s">
        <v>944</v>
      </c>
      <c r="P47" s="262" t="s">
        <v>945</v>
      </c>
      <c r="Q47" s="264" t="s">
        <v>306</v>
      </c>
      <c r="R47" s="265" t="s">
        <v>816</v>
      </c>
      <c r="T47" s="265">
        <v>5</v>
      </c>
      <c r="U47" s="265">
        <v>101</v>
      </c>
      <c r="Y47" s="237" t="s">
        <v>305</v>
      </c>
      <c r="Z47" s="237" t="s">
        <v>841</v>
      </c>
      <c r="AA47" s="256" t="s">
        <v>306</v>
      </c>
      <c r="AB47" s="237" t="s">
        <v>854</v>
      </c>
      <c r="AC47" s="237">
        <v>5</v>
      </c>
      <c r="AG47" s="261" t="s">
        <v>953</v>
      </c>
      <c r="AH47" s="276" t="s">
        <v>954</v>
      </c>
    </row>
    <row r="48" spans="14:34" ht="13" x14ac:dyDescent="0.3">
      <c r="N48" s="256"/>
      <c r="AG48" s="261" t="s">
        <v>886</v>
      </c>
      <c r="AH48" s="262" t="s">
        <v>887</v>
      </c>
    </row>
    <row r="49" spans="14:34" ht="14.5" x14ac:dyDescent="0.35">
      <c r="N49" s="263">
        <v>500</v>
      </c>
      <c r="O49" s="266" t="s">
        <v>955</v>
      </c>
      <c r="P49" s="262" t="s">
        <v>956</v>
      </c>
      <c r="Q49" s="264" t="s">
        <v>306</v>
      </c>
      <c r="R49" s="265" t="s">
        <v>816</v>
      </c>
      <c r="T49" s="265">
        <v>5</v>
      </c>
      <c r="U49" s="265">
        <v>152</v>
      </c>
      <c r="AG49" s="266" t="s">
        <v>920</v>
      </c>
      <c r="AH49" s="262" t="s">
        <v>921</v>
      </c>
    </row>
    <row r="50" spans="14:34" ht="14.5" x14ac:dyDescent="0.35">
      <c r="N50" s="263">
        <v>1200</v>
      </c>
      <c r="O50" s="261" t="s">
        <v>918</v>
      </c>
      <c r="P50" s="262" t="s">
        <v>919</v>
      </c>
      <c r="Q50" s="264" t="s">
        <v>306</v>
      </c>
      <c r="R50" s="265" t="s">
        <v>816</v>
      </c>
      <c r="T50" s="265">
        <v>5</v>
      </c>
      <c r="U50" s="265">
        <v>152</v>
      </c>
      <c r="W50" s="269" t="s">
        <v>957</v>
      </c>
      <c r="AG50" s="266" t="s">
        <v>858</v>
      </c>
      <c r="AH50" s="262" t="s">
        <v>859</v>
      </c>
    </row>
    <row r="51" spans="14:34" ht="14.5" x14ac:dyDescent="0.35">
      <c r="N51" s="263">
        <v>2000</v>
      </c>
      <c r="O51" s="261" t="s">
        <v>953</v>
      </c>
      <c r="P51" s="276" t="s">
        <v>954</v>
      </c>
      <c r="Q51" s="264" t="s">
        <v>306</v>
      </c>
      <c r="R51" s="265" t="s">
        <v>816</v>
      </c>
      <c r="T51" s="265">
        <v>5</v>
      </c>
      <c r="U51" s="265">
        <v>152</v>
      </c>
      <c r="W51" s="277">
        <f>IF(E10="Solid",W44,IF(E11="Cable",W45,IF(E11="Busbar",W46,0)))</f>
        <v>0</v>
      </c>
      <c r="X51" s="269">
        <f>IF(W51&lt;501,501,IF(W51&lt;1001,1001,IF(W51&lt;1201,1201,IF(W51&lt;1501,1501,IF(W51&lt;1601,1601,IF(W51&lt;2001,2001,IF(W51&lt;2501,2501,IF(W51&lt;3001,3001, IF(W51&lt;4001,4001,IF(W51&lt;5001,5001,""))))))))))</f>
        <v>501</v>
      </c>
      <c r="AG51" s="266" t="s">
        <v>902</v>
      </c>
      <c r="AH51" s="262" t="s">
        <v>903</v>
      </c>
    </row>
    <row r="52" spans="14:34" ht="14.5" x14ac:dyDescent="0.35">
      <c r="N52" s="263">
        <v>2500</v>
      </c>
      <c r="O52" s="266" t="s">
        <v>958</v>
      </c>
      <c r="P52" s="262" t="s">
        <v>959</v>
      </c>
      <c r="Q52" s="264" t="s">
        <v>306</v>
      </c>
      <c r="R52" s="265" t="s">
        <v>816</v>
      </c>
      <c r="T52" s="265">
        <v>5</v>
      </c>
      <c r="U52" s="265">
        <v>152</v>
      </c>
      <c r="AG52" s="266" t="s">
        <v>960</v>
      </c>
      <c r="AH52" s="262" t="s">
        <v>961</v>
      </c>
    </row>
    <row r="53" spans="14:34" ht="14.5" x14ac:dyDescent="0.35">
      <c r="N53" s="263">
        <v>3001</v>
      </c>
      <c r="O53" s="266" t="s">
        <v>962</v>
      </c>
      <c r="P53" s="262" t="s">
        <v>963</v>
      </c>
      <c r="Q53" s="264" t="s">
        <v>306</v>
      </c>
      <c r="R53" s="265" t="s">
        <v>816</v>
      </c>
      <c r="T53" s="265">
        <v>5</v>
      </c>
      <c r="U53" s="265">
        <v>152</v>
      </c>
      <c r="V53" s="269" t="s">
        <v>964</v>
      </c>
      <c r="W53" s="269" t="str">
        <f>IF(E12=5,"",IF($E$11="Cable",IF($X$51-1&gt;$N14,"Current rating is too large.",VLOOKUP($X$51,N3:P14,2)),""))</f>
        <v/>
      </c>
      <c r="X53" s="278" t="str">
        <f>IF($C$16&gt;0,IF(H10&gt;2.5*25.4,"",IF($E$10="split","",IF($E$12=1,$W$53,""))))</f>
        <v/>
      </c>
      <c r="AG53" s="266" t="s">
        <v>958</v>
      </c>
      <c r="AH53" s="262" t="s">
        <v>959</v>
      </c>
    </row>
    <row r="54" spans="14:34" ht="13" x14ac:dyDescent="0.3">
      <c r="N54" s="256"/>
      <c r="V54" s="279" t="s">
        <v>965</v>
      </c>
      <c r="W54" s="269" t="str">
        <f>IF(E12=1,"",IF($E$11="Cable",IF($X$51-1&gt;$N$26,"Current rating is too large.",VLOOKUP($X$51,N17:P26,2)),""))</f>
        <v/>
      </c>
      <c r="X54" s="278" t="str">
        <f>IF($C$16&gt;0,IF(H11&gt;2.5*25.4,"",IF($E$10="split","",IF($E$12=5,$W$54,""))))</f>
        <v/>
      </c>
      <c r="Y54" s="278" t="str">
        <f>IF(X53="",IF(X54="","",W54),W53)</f>
        <v/>
      </c>
      <c r="Z54" s="280"/>
      <c r="AA54" s="281"/>
      <c r="AB54" s="280"/>
      <c r="AC54" s="280"/>
      <c r="AD54" s="280"/>
      <c r="AE54" s="280"/>
      <c r="AG54" s="266" t="s">
        <v>966</v>
      </c>
      <c r="AH54" s="262" t="s">
        <v>967</v>
      </c>
    </row>
    <row r="55" spans="14:34" ht="14.5" x14ac:dyDescent="0.35">
      <c r="N55" s="263">
        <v>2500</v>
      </c>
      <c r="O55" s="266" t="s">
        <v>966</v>
      </c>
      <c r="P55" s="262" t="s">
        <v>967</v>
      </c>
      <c r="Q55" s="264" t="s">
        <v>306</v>
      </c>
      <c r="R55" s="265" t="s">
        <v>816</v>
      </c>
      <c r="T55" s="265">
        <v>5</v>
      </c>
      <c r="U55" s="265">
        <v>203</v>
      </c>
      <c r="V55" s="237" t="s">
        <v>968</v>
      </c>
      <c r="W55" s="269" t="str">
        <f>IF(E12=5,"",IF($E$11="Cable",IF(H10&gt;25.4*4,"Current rating is too large.",IF($X$51-1&gt;N29,"Current rating is too large.",VLOOKUP($X$51,N28:P29,2))),""))</f>
        <v/>
      </c>
      <c r="X55" s="278" t="str">
        <f>IF($E$12=1,IF($W$55="Current rating is too large.",IF($W$57="Current rating is too large.",IF($W$59="Current rating is too large.",IF($W$61="Current rating is too large.",$W$61,$W$61),$W$59),$W$57),$W$55),"")</f>
        <v/>
      </c>
      <c r="Z55" s="280"/>
      <c r="AA55" s="281"/>
      <c r="AB55" s="280"/>
      <c r="AC55" s="280"/>
      <c r="AD55" s="280"/>
      <c r="AE55" s="280"/>
      <c r="AG55" s="266" t="s">
        <v>888</v>
      </c>
      <c r="AH55" s="262" t="s">
        <v>889</v>
      </c>
    </row>
    <row r="56" spans="14:34" ht="14.5" x14ac:dyDescent="0.35">
      <c r="N56" s="263">
        <v>4000</v>
      </c>
      <c r="O56" s="266" t="s">
        <v>969</v>
      </c>
      <c r="P56" s="262" t="s">
        <v>970</v>
      </c>
      <c r="Q56" s="264" t="s">
        <v>306</v>
      </c>
      <c r="R56" s="265" t="s">
        <v>816</v>
      </c>
      <c r="T56" s="265">
        <v>5</v>
      </c>
      <c r="U56" s="265">
        <v>203</v>
      </c>
      <c r="V56" s="280" t="s">
        <v>971</v>
      </c>
      <c r="W56" s="269" t="str">
        <f>IF(E12=1,"",IF($E$11="Cable",IF(H10&gt;25.4*4,"Current rating is too large.",IF($X$51-1&gt;N47,"Current rating is too large.",VLOOKUP($X$51,N44:P47,2))),""))</f>
        <v/>
      </c>
      <c r="X56" s="278" t="str">
        <f>IF($E$12=5,IF($W$56="Current rating is too large.",IF($W$58="Current rating is too large.",IF($W$60="Current rating is too large.",IF($W$62="Current rating is too large.",$W$62,$W$62),$W$60),$W$58),$W$56),"")</f>
        <v/>
      </c>
      <c r="Y56" s="280"/>
      <c r="Z56" s="280"/>
      <c r="AA56" s="281"/>
      <c r="AB56" s="280"/>
      <c r="AC56" s="280"/>
      <c r="AD56" s="280"/>
      <c r="AE56" s="280"/>
      <c r="AG56" s="266" t="s">
        <v>926</v>
      </c>
      <c r="AH56" s="262" t="s">
        <v>927</v>
      </c>
    </row>
    <row r="57" spans="14:34" ht="14.5" x14ac:dyDescent="0.35">
      <c r="N57" s="263">
        <v>5001</v>
      </c>
      <c r="O57" s="266" t="s">
        <v>972</v>
      </c>
      <c r="P57" s="262" t="s">
        <v>973</v>
      </c>
      <c r="Q57" s="264" t="s">
        <v>306</v>
      </c>
      <c r="R57" s="265" t="s">
        <v>816</v>
      </c>
      <c r="T57" s="265">
        <v>5</v>
      </c>
      <c r="U57" s="265">
        <v>203</v>
      </c>
      <c r="V57" s="237" t="s">
        <v>974</v>
      </c>
      <c r="W57" s="269" t="str">
        <f>IF(E12=5,"",IF($E$11="Cable",IF(H10&gt;25.4*6,"Current rating is too large.",IF($X$51-1&gt;N34,"Current rating is too large.",VLOOKUP($X$51+500,N31:P34,2))),""))</f>
        <v/>
      </c>
      <c r="Y57" s="283"/>
      <c r="Z57" s="283"/>
      <c r="AA57" s="284"/>
      <c r="AB57" s="283"/>
      <c r="AC57" s="283"/>
      <c r="AD57" s="283"/>
      <c r="AE57" s="280"/>
      <c r="AG57" s="266" t="s">
        <v>922</v>
      </c>
      <c r="AH57" s="262" t="s">
        <v>923</v>
      </c>
    </row>
    <row r="58" spans="14:34" ht="14.5" x14ac:dyDescent="0.35">
      <c r="N58" s="263"/>
      <c r="O58" s="261"/>
      <c r="P58" s="262"/>
      <c r="Q58" s="264"/>
      <c r="R58" s="265"/>
      <c r="T58" s="265">
        <v>5</v>
      </c>
      <c r="U58" s="265">
        <v>203</v>
      </c>
      <c r="V58" s="280" t="s">
        <v>975</v>
      </c>
      <c r="W58" s="269" t="str">
        <f>IF(E12=1,"",IF($E$11="Cable",IF(H10&gt;25.4*6,"Current rating is too large.",IF($X$51-1&gt;N53,"Current rating is too large.",VLOOKUP($X$51+501,N49:P53,2))),""))</f>
        <v/>
      </c>
      <c r="Y58" s="280"/>
      <c r="Z58" s="280"/>
      <c r="AA58" s="281"/>
      <c r="AB58" s="280"/>
      <c r="AC58" s="280"/>
      <c r="AD58" s="280"/>
      <c r="AE58" s="280"/>
      <c r="AG58" s="266" t="s">
        <v>860</v>
      </c>
      <c r="AH58" s="262" t="s">
        <v>861</v>
      </c>
    </row>
    <row r="59" spans="14:34" ht="14.5" x14ac:dyDescent="0.35">
      <c r="N59" s="263"/>
      <c r="O59" s="261"/>
      <c r="P59" s="262"/>
      <c r="Q59" s="264"/>
      <c r="R59" s="265"/>
      <c r="T59" s="265">
        <v>5</v>
      </c>
      <c r="U59" s="265">
        <v>203.2</v>
      </c>
      <c r="V59" s="237" t="s">
        <v>976</v>
      </c>
      <c r="W59" s="269" t="str">
        <f>IF(E12=5,"",IF($E$11="Cable",IF(H10&gt;25.4*8,"Current rating is too large.",IF(X51&lt;N38,VLOOKUP(2000,N38:P40,2),IF($X$51-1&gt;N39,"Current rating is too large.",VLOOKUP($X$51,N38:P39,2)))),""))</f>
        <v/>
      </c>
      <c r="X59" s="279"/>
      <c r="Y59" s="280"/>
      <c r="Z59" s="280"/>
      <c r="AA59" s="281"/>
      <c r="AB59" s="280"/>
      <c r="AC59" s="280"/>
      <c r="AD59" s="280"/>
      <c r="AE59" s="280"/>
      <c r="AG59" s="266" t="s">
        <v>906</v>
      </c>
      <c r="AH59" s="262" t="s">
        <v>907</v>
      </c>
    </row>
    <row r="60" spans="14:34" ht="13" x14ac:dyDescent="0.3">
      <c r="N60" s="256"/>
      <c r="V60" s="280" t="s">
        <v>977</v>
      </c>
      <c r="W60" s="269" t="str">
        <f>IF(E12=1,"",IF($E$11="Bus","",IF(H10&gt;25.4*8,"Current rating is too large.",IF($X$51&gt;N57,"Current rating is too large.",IF(X51-1&lt;N55,VLOOKUP(2501,N55:P57,2),IF(X51-1&lt;N56,VLOOKUP(4001,N55:P57,2),IF(X51-1&lt;N57,VLOOKUP(5001,N55:P57,2),"")))))))</f>
        <v>PCSPCTFCL250058</v>
      </c>
      <c r="X60" s="282"/>
      <c r="Y60" s="280"/>
      <c r="Z60" s="280"/>
      <c r="AA60" s="281"/>
      <c r="AB60" s="280"/>
      <c r="AC60" s="280"/>
      <c r="AD60" s="280"/>
      <c r="AE60" s="280"/>
      <c r="AG60" s="266" t="s">
        <v>962</v>
      </c>
      <c r="AH60" s="262" t="s">
        <v>963</v>
      </c>
    </row>
    <row r="61" spans="14:34" ht="13" x14ac:dyDescent="0.3">
      <c r="V61" s="237" t="s">
        <v>978</v>
      </c>
      <c r="W61" s="269" t="str">
        <f>IF(E12=5,"",IF($E$11="Cable",IF(H10&gt;25.4*11,"Current rating is too large.",IF($X$51&gt;N42,"Current rating is too large.",VLOOKUP(2501,N42:P42,2))),""))</f>
        <v/>
      </c>
      <c r="X61" s="278" t="str">
        <f>IF(AND(Y54="Current rating is too large.",X55="Current rating is too large.",X56="Current rating is too large."),"Current rating is too large.",IF(AND(Y54="",X55="",X56=""),"",IF(AND(Y54&lt;&gt;"Current rating is too large.",Y54&lt;&gt;""),Y54,IF(AND(X55&lt;&gt;"Current rating is too large.",X55&lt;&gt;""),X55,IF(AND(X56&lt;&gt;"Current rating is too large.",X56&lt;&gt;""),X56,"Current rating is too large.")))))</f>
        <v/>
      </c>
      <c r="AG61" s="266" t="s">
        <v>890</v>
      </c>
      <c r="AH61" s="262" t="s">
        <v>891</v>
      </c>
    </row>
    <row r="62" spans="14:34" ht="14.5" x14ac:dyDescent="0.35">
      <c r="N62" s="263">
        <v>2501</v>
      </c>
      <c r="O62" s="266" t="s">
        <v>960</v>
      </c>
      <c r="P62" s="262" t="s">
        <v>961</v>
      </c>
      <c r="Q62" s="264" t="s">
        <v>306</v>
      </c>
      <c r="R62" s="265" t="s">
        <v>816</v>
      </c>
      <c r="T62" s="265">
        <v>5</v>
      </c>
      <c r="U62" s="265">
        <v>279</v>
      </c>
      <c r="V62" s="280" t="s">
        <v>979</v>
      </c>
      <c r="W62" s="269" t="str">
        <f>IF(E12=1,"",IF($E$11="Cable",IF(H10&gt;25.4*11,"Current rating is too large.",IF($X$51&gt;N62,"Current rating is too large.",VLOOKUP(2501,N62:P62,2))),""))</f>
        <v/>
      </c>
      <c r="AG62" s="266" t="s">
        <v>930</v>
      </c>
      <c r="AH62" s="262" t="s">
        <v>931</v>
      </c>
    </row>
    <row r="63" spans="14:34" ht="14.5" x14ac:dyDescent="0.35">
      <c r="N63" s="263"/>
      <c r="O63" s="261"/>
      <c r="P63" s="262"/>
      <c r="Q63" s="264"/>
      <c r="R63" s="265"/>
      <c r="T63" s="265">
        <v>5</v>
      </c>
      <c r="U63" s="265">
        <v>279</v>
      </c>
      <c r="AG63" s="266" t="s">
        <v>936</v>
      </c>
      <c r="AH63" s="262" t="s">
        <v>937</v>
      </c>
    </row>
    <row r="64" spans="14:34" ht="13" x14ac:dyDescent="0.3">
      <c r="V64" s="280" t="s">
        <v>980</v>
      </c>
      <c r="W64" s="269" t="str">
        <f>IF(E10="split",IF(E12=5,"",IF($E$11="Busbar",IF(H10&lt;=25.4*6.625,IF(J10&lt;=25.4*2.75,IF($X$51&gt;V10,"Current rating is too large.",VLOOKUP($X$51,V5:X10,2)),""),""),"")),"")</f>
        <v/>
      </c>
      <c r="X64" s="278" t="str">
        <f>IF($E$12=1,IF(OR(W64="Current rating is too large.",W64=""),W66,W64),"")</f>
        <v/>
      </c>
      <c r="AG64" s="266" t="s">
        <v>908</v>
      </c>
      <c r="AH64" s="262" t="s">
        <v>909</v>
      </c>
    </row>
    <row r="65" spans="21:34" ht="13" x14ac:dyDescent="0.3">
      <c r="V65" s="280" t="s">
        <v>981</v>
      </c>
      <c r="W65" s="269" t="str">
        <f>IF(E10="split",IF(E12=1,"",IF($E$11="Busbar",IF(H10&lt;=25.4*6.625,IF(J10&lt;=25.4*2.75,IF($X$51&gt;V23,"Current rating is too large.",VLOOKUP($X$51,V17:X23,2)),""),""),"")),"")</f>
        <v/>
      </c>
      <c r="AG65" s="266" t="s">
        <v>969</v>
      </c>
      <c r="AH65" s="262" t="s">
        <v>970</v>
      </c>
    </row>
    <row r="66" spans="21:34" ht="13" x14ac:dyDescent="0.3">
      <c r="V66" s="280" t="s">
        <v>982</v>
      </c>
      <c r="W66" s="269" t="str">
        <f>IF(E10="split",IF(E12=5,"",IF($E$11="Busbar",IF(H10&lt;=11*25.4,IF(J10&lt;25.4*4,IF($X$51&lt;2501,VLOOKUP(2501,V28:X28,2),IF($X$51&gt;$V28,"Current rating is too large.",VLOOKUP($X$51,V28:X28,2))),""),""),"")),"")</f>
        <v/>
      </c>
      <c r="X66" s="278" t="str">
        <f>IF(E12=5,IF(OR(W65="Current rating is too large.",W65=""),W67,W65),"")</f>
        <v/>
      </c>
      <c r="AG66" s="266" t="s">
        <v>934</v>
      </c>
      <c r="AH66" s="262" t="s">
        <v>935</v>
      </c>
    </row>
    <row r="67" spans="21:34" ht="13" x14ac:dyDescent="0.3">
      <c r="V67" s="280" t="s">
        <v>983</v>
      </c>
      <c r="W67" s="269" t="str">
        <f>IF(E10="split",IF(E12=1,"",IF($E$11="Busbar",IF($X$51&lt;2501,VLOOKUP(2501,V36:X39,2),IF($X$51&gt;$V39,"Current rating is too large.",VLOOKUP($X$51+500,V36:X39,2))),"")),"")</f>
        <v/>
      </c>
      <c r="AG67" s="266" t="s">
        <v>942</v>
      </c>
      <c r="AH67" s="262" t="s">
        <v>943</v>
      </c>
    </row>
    <row r="68" spans="21:34" ht="13" x14ac:dyDescent="0.3">
      <c r="X68" s="278" t="str">
        <f>IF(E12=1,X64,IF(E12=5,X66,""))</f>
        <v/>
      </c>
      <c r="AG68" s="266" t="s">
        <v>912</v>
      </c>
      <c r="AH68" s="262" t="s">
        <v>913</v>
      </c>
    </row>
    <row r="69" spans="21:34" ht="13" x14ac:dyDescent="0.3">
      <c r="X69" s="278" t="str">
        <f>IF(AND(X61="Current rating is too large.",X64="Current rating is too large.",X66="Current rating is too large."),"Current rating is too large.",IF(AND(X61="",X64="",X66=""),"",IF(AND(X61&lt;&gt;"Current rating is too large.",X61&lt;&gt;""),X61,IF(AND(X64&lt;&gt;"Current rating is too large.",X64&lt;&gt;""),X64,IF(AND(X66&lt;&gt;"Current rating is too large.",X66&lt;&gt;""),X66,"Current rating is too large.")))))</f>
        <v/>
      </c>
      <c r="AG69" s="266" t="s">
        <v>972</v>
      </c>
      <c r="AH69" s="262" t="s">
        <v>973</v>
      </c>
    </row>
    <row r="70" spans="21:34" ht="13" x14ac:dyDescent="0.3">
      <c r="AG70" s="266" t="s">
        <v>938</v>
      </c>
      <c r="AH70" s="262" t="s">
        <v>939</v>
      </c>
    </row>
    <row r="71" spans="21:34" ht="13" x14ac:dyDescent="0.3">
      <c r="AG71" s="266" t="s">
        <v>900</v>
      </c>
      <c r="AH71" s="262" t="s">
        <v>901</v>
      </c>
    </row>
    <row r="72" spans="21:34" ht="13" x14ac:dyDescent="0.3">
      <c r="U72" s="237" t="s">
        <v>308</v>
      </c>
      <c r="V72" s="237" t="str">
        <f>IF(E10="SOLID",IF(W54="Current rating is too large.","No solid core CT meets the selected criteria.",""),"")</f>
        <v/>
      </c>
      <c r="AG72" s="266" t="s">
        <v>825</v>
      </c>
      <c r="AH72" s="262" t="s">
        <v>826</v>
      </c>
    </row>
    <row r="73" spans="21:34" ht="13" x14ac:dyDescent="0.3">
      <c r="U73" s="237" t="s">
        <v>1020</v>
      </c>
      <c r="V73" s="237" t="str">
        <f>IF(E12=1,IF(E10="split",IF(X55="Current rating is too large.","No split core CT with 1 amp secondary with the inside diameter specified meets the selected criteria.",""),""),"")</f>
        <v/>
      </c>
      <c r="AG73" s="266" t="s">
        <v>946</v>
      </c>
      <c r="AH73" s="262" t="s">
        <v>947</v>
      </c>
    </row>
    <row r="74" spans="21:34" ht="13" x14ac:dyDescent="0.3">
      <c r="U74" s="237" t="s">
        <v>1026</v>
      </c>
      <c r="V74" s="237" t="str">
        <f>IF(E12=5,IF(E10="split",IF(X56="Current rating is too large.","No split core CT with 5 amp secondary with the insdie diameter specified meet the selected criteria.",""),""),"")</f>
        <v/>
      </c>
      <c r="AG74" s="266" t="s">
        <v>955</v>
      </c>
      <c r="AH74" s="262" t="s">
        <v>956</v>
      </c>
    </row>
    <row r="75" spans="21:34" ht="13" x14ac:dyDescent="0.3">
      <c r="U75" s="237" t="s">
        <v>1022</v>
      </c>
      <c r="V75" s="237" t="str">
        <f>IF(AND(E11="busbar",E10="solid"),"No solid core CT meets the selected criteria.",IF(W64="","",IF(W64="Current rating is too large.","No small rectangular CT with 1 amp secondary meets the selected criteria.","")))</f>
        <v/>
      </c>
      <c r="AG75" s="266" t="s">
        <v>867</v>
      </c>
      <c r="AH75" s="262" t="s">
        <v>868</v>
      </c>
    </row>
    <row r="76" spans="21:34" ht="13" x14ac:dyDescent="0.3">
      <c r="U76" s="237" t="s">
        <v>1023</v>
      </c>
      <c r="V76" s="237" t="str">
        <f>IF(AND(E11="busbar",E10="solid"),"No solid core CT meets the selected criteria.", IF(W65="","",IF(W65="Current rating is too large.","No small rectangular CT with 5 amp secondary meets the selected criteria.","")))</f>
        <v/>
      </c>
      <c r="AG76" s="282"/>
      <c r="AH76" s="282"/>
    </row>
    <row r="77" spans="21:34" ht="13" x14ac:dyDescent="0.3">
      <c r="U77" s="237" t="s">
        <v>1024</v>
      </c>
      <c r="V77" s="237" t="str">
        <f>IF(AND(E11="busbar",E10="solid"),"No solid core CT meets the selected criteria.",IF(W66="","",IF(W66="Current rating is too large.","No rectangular CT with 1 amp secondary meets the selected criteria.","")))</f>
        <v/>
      </c>
      <c r="AG77" s="282"/>
      <c r="AH77" s="282"/>
    </row>
    <row r="78" spans="21:34" ht="13" x14ac:dyDescent="0.3">
      <c r="U78" s="237" t="s">
        <v>1025</v>
      </c>
      <c r="V78" s="237" t="str">
        <f>IF(AND(E11="busbar",E10="solid"),"No solid core CT meets the selected criteria.",IF(W67="","",IF(W67="Current rating is too large.","No 4x11 rectangular CT with 1 amp secondary meets the selected criteria.","")))</f>
        <v/>
      </c>
      <c r="AG78" s="282"/>
      <c r="AH78" s="282"/>
    </row>
    <row r="80" spans="21:34" x14ac:dyDescent="0.25">
      <c r="U80" s="292" t="s">
        <v>1021</v>
      </c>
      <c r="V80" s="237" t="str">
        <f>IF(AND(E10="solid",H10&gt;25.4*2.5),"No solid core CT can meet the diameter/dimensions specified.",IF(AND(E10="Split",E11="Cable",H10&gt;25.4*11),"No split  core round CT can meet the diameter specified.",IF(AND(AND(E10="split",E11="busbar"),OR(H10&gt;25.4*11,J10&gt;25.4*4)),"No rectanglar CT can meet the dimensions specified.",IF(V72="",IF(V73="",IF(V74="",IF(V75="",IF(V76="",IF(V77="",IF(V78="","",V78),V77),V76),V75),V74),V73),V72))))</f>
        <v/>
      </c>
    </row>
    <row r="85" spans="33:34" x14ac:dyDescent="0.25">
      <c r="AG85" s="269"/>
      <c r="AH85" s="269"/>
    </row>
    <row r="86" spans="33:34" x14ac:dyDescent="0.25">
      <c r="AG86" s="269"/>
      <c r="AH86" s="269"/>
    </row>
    <row r="87" spans="33:34" x14ac:dyDescent="0.25">
      <c r="AG87" s="269"/>
      <c r="AH87" s="269"/>
    </row>
    <row r="92" spans="33:34" ht="13" x14ac:dyDescent="0.3">
      <c r="AG92" s="282"/>
      <c r="AH92" s="282"/>
    </row>
    <row r="93" spans="33:34" x14ac:dyDescent="0.25">
      <c r="AG93" s="269"/>
      <c r="AH93" s="269"/>
    </row>
    <row r="94" spans="33:34" x14ac:dyDescent="0.25">
      <c r="AG94" s="269"/>
      <c r="AH94" s="269"/>
    </row>
    <row r="95" spans="33:34" ht="13" x14ac:dyDescent="0.3">
      <c r="AG95" s="266"/>
      <c r="AH95" s="262"/>
    </row>
  </sheetData>
  <sheetProtection algorithmName="SHA-512" hashValue="v0mhtkmJTKonmla88EODnFdFzihi2XSCVsGOZDyFNnWhTrXDtJWVU+uAKMCx99NTM/K9X8Puf7B/3n7adW6SLA==" saltValue="RhOR5bGO9jTKk0LqLJnlXw==" spinCount="100000" sheet="1" objects="1" scenarios="1"/>
  <mergeCells count="28">
    <mergeCell ref="AH10:AK10"/>
    <mergeCell ref="E15:I15"/>
    <mergeCell ref="B19:J19"/>
    <mergeCell ref="C10:D10"/>
    <mergeCell ref="E16:I16"/>
    <mergeCell ref="D17:J17"/>
    <mergeCell ref="W1:W2"/>
    <mergeCell ref="X1:X2"/>
    <mergeCell ref="AC1:AD1"/>
    <mergeCell ref="F8:G8"/>
    <mergeCell ref="F9:J9"/>
    <mergeCell ref="O1:O2"/>
    <mergeCell ref="P1:P2"/>
    <mergeCell ref="B1:J1"/>
    <mergeCell ref="B3:C3"/>
    <mergeCell ref="D3:G3"/>
    <mergeCell ref="B8:D8"/>
    <mergeCell ref="B20:J20"/>
    <mergeCell ref="B21:J21"/>
    <mergeCell ref="B22:J22"/>
    <mergeCell ref="B24:J24"/>
    <mergeCell ref="B5:I5"/>
    <mergeCell ref="B9:D9"/>
    <mergeCell ref="C11:D11"/>
    <mergeCell ref="C12:D12"/>
    <mergeCell ref="F12:J12"/>
    <mergeCell ref="F11:J11"/>
    <mergeCell ref="B6:I6"/>
  </mergeCells>
  <phoneticPr fontId="11" type="noConversion"/>
  <conditionalFormatting sqref="AG61 AG54 W18 W8">
    <cfRule type="expression" dxfId="11" priority="12" stopIfTrue="1">
      <formula>IF(LEN(W8)&gt;#REF!,1,0)</formula>
    </cfRule>
  </conditionalFormatting>
  <conditionalFormatting sqref="AH61 AH54 X18 X8">
    <cfRule type="expression" dxfId="10" priority="11" stopIfTrue="1">
      <formula>IF(LEN(X8)&gt;#REF!,1,0)</formula>
    </cfRule>
  </conditionalFormatting>
  <conditionalFormatting sqref="O58 O29 O38 O50:O51 O45:O47 O31 O33:O34 AG32 AG25:AG29 AG41:AG42 AG37:AG39">
    <cfRule type="expression" dxfId="9" priority="10" stopIfTrue="1">
      <formula>IF(LEN(O25)&gt;O$13,1,0)</formula>
    </cfRule>
  </conditionalFormatting>
  <conditionalFormatting sqref="P58 P29 P38 P50 P45:P47 P31 P33:P34 AH32 AH25:AH28 AH41 AH37:AH39">
    <cfRule type="expression" dxfId="8" priority="9" stopIfTrue="1">
      <formula>IF(LEN(P25)&gt;O$13,1,0)</formula>
    </cfRule>
  </conditionalFormatting>
  <conditionalFormatting sqref="X28 X9:X11 X19:X21 X7 AH55:AH57 AH62:AH64 AH53">
    <cfRule type="expression" dxfId="7" priority="8" stopIfTrue="1">
      <formula>IF(LEN(X7)&gt;O$13,1,0)</formula>
    </cfRule>
  </conditionalFormatting>
  <conditionalFormatting sqref="W7 W9:W12 W19:W22 AG55:AG58 AG62:AG65">
    <cfRule type="expression" dxfId="6" priority="7" stopIfTrue="1">
      <formula>IF(LEN(W7)&gt;O$13,1,0)</formula>
    </cfRule>
  </conditionalFormatting>
  <conditionalFormatting sqref="AG47">
    <cfRule type="expression" dxfId="5" priority="6" stopIfTrue="1">
      <formula>IF(LEN(AG47)&gt;AG$13,1,0)</formula>
    </cfRule>
  </conditionalFormatting>
  <conditionalFormatting sqref="AH47">
    <cfRule type="expression" dxfId="4" priority="5" stopIfTrue="1">
      <formula>IF(LEN(AH47)&gt;AG$13,1,0)</formula>
    </cfRule>
  </conditionalFormatting>
  <conditionalFormatting sqref="AH68">
    <cfRule type="expression" dxfId="3" priority="4" stopIfTrue="1">
      <formula>IF(LEN(AH68)&gt;Y$13,1,0)</formula>
    </cfRule>
  </conditionalFormatting>
  <conditionalFormatting sqref="AG53">
    <cfRule type="expression" dxfId="2" priority="3" stopIfTrue="1">
      <formula>IF(LEN(AG53)&gt;Y$13,1,0)</formula>
    </cfRule>
  </conditionalFormatting>
  <conditionalFormatting sqref="O32">
    <cfRule type="expression" dxfId="1" priority="2" stopIfTrue="1">
      <formula>IF(LEN(O32)&gt;O$13,1,0)</formula>
    </cfRule>
  </conditionalFormatting>
  <conditionalFormatting sqref="P32">
    <cfRule type="expression" dxfId="0" priority="1" stopIfTrue="1">
      <formula>IF(LEN(P32)&gt;O$13,1,0)</formula>
    </cfRule>
  </conditionalFormatting>
  <dataValidations count="5">
    <dataValidation type="list" allowBlank="1" showInputMessage="1" showErrorMessage="1" sqref="K4 E12" xr:uid="{00000000-0002-0000-0900-000000000000}">
      <formula1>$AC$46:$AC$47</formula1>
    </dataValidation>
    <dataValidation type="list" allowBlank="1" showInputMessage="1" showErrorMessage="1" sqref="E8" xr:uid="{00000000-0002-0000-0900-000001000000}">
      <formula1>$Y$46:$Y$47</formula1>
    </dataValidation>
    <dataValidation type="list" allowBlank="1" showInputMessage="1" showErrorMessage="1" sqref="E9" xr:uid="{00000000-0002-0000-0900-000002000000}">
      <formula1>$Z$46:$Z$47</formula1>
    </dataValidation>
    <dataValidation type="list" allowBlank="1" showInputMessage="1" showErrorMessage="1" sqref="E10" xr:uid="{00000000-0002-0000-0900-000003000000}">
      <formula1>$AA$46:$AA$47</formula1>
    </dataValidation>
    <dataValidation type="list" allowBlank="1" showInputMessage="1" showErrorMessage="1" sqref="E11" xr:uid="{00000000-0002-0000-0900-000004000000}">
      <formula1>$AB$46:$AB$47</formula1>
    </dataValidation>
  </dataValidations>
  <pageMargins left="0.75" right="0.75" top="1" bottom="1" header="0.5" footer="0.5"/>
  <pageSetup orientation="portrait" r:id="rId1"/>
  <headerFooter alignWithMargins="0">
    <oddFooter>&amp;C&amp;1#&amp;"Arial"&amp;6&amp;K626469Internal</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Q16"/>
  <sheetViews>
    <sheetView showGridLines="0" showRowColHeaders="0" workbookViewId="0">
      <selection activeCell="B1" sqref="B1"/>
    </sheetView>
  </sheetViews>
  <sheetFormatPr defaultRowHeight="12.5" x14ac:dyDescent="0.25"/>
  <cols>
    <col min="2" max="2" width="9.36328125" bestFit="1" customWidth="1"/>
    <col min="5" max="5" width="10.08984375" customWidth="1"/>
  </cols>
  <sheetData>
    <row r="1" spans="2:17" ht="16.5" x14ac:dyDescent="0.35">
      <c r="B1" s="54"/>
      <c r="C1" s="54"/>
      <c r="D1" s="975" t="s">
        <v>998</v>
      </c>
      <c r="E1" s="975"/>
      <c r="F1" s="975"/>
      <c r="G1" s="975"/>
      <c r="H1" s="975"/>
      <c r="I1" s="975"/>
      <c r="J1" s="975"/>
      <c r="K1" s="975"/>
      <c r="L1" s="975"/>
      <c r="M1" s="975"/>
      <c r="N1" s="975"/>
      <c r="O1" s="975"/>
      <c r="P1" s="54"/>
      <c r="Q1" s="54"/>
    </row>
    <row r="2" spans="2:17" ht="36.75" customHeight="1" x14ac:dyDescent="0.25">
      <c r="D2" s="975"/>
      <c r="E2" s="975"/>
      <c r="F2" s="975"/>
      <c r="G2" s="975"/>
      <c r="H2" s="975"/>
      <c r="I2" s="975"/>
      <c r="J2" s="975"/>
      <c r="K2" s="975"/>
      <c r="L2" s="975"/>
      <c r="M2" s="975"/>
      <c r="N2" s="975"/>
      <c r="O2" s="975"/>
    </row>
    <row r="3" spans="2:17" ht="15.5" x14ac:dyDescent="0.35">
      <c r="E3" s="51"/>
      <c r="F3" s="51"/>
      <c r="G3" s="51"/>
      <c r="H3" s="51"/>
      <c r="I3" s="51"/>
      <c r="J3" s="51"/>
      <c r="K3" s="51"/>
      <c r="L3" s="51"/>
      <c r="M3" s="51"/>
    </row>
    <row r="5" spans="2:17" ht="13" x14ac:dyDescent="0.3">
      <c r="E5" s="972" t="s">
        <v>999</v>
      </c>
      <c r="F5" s="973"/>
      <c r="G5" s="973"/>
      <c r="H5" s="973"/>
      <c r="I5" s="973"/>
      <c r="J5" s="973"/>
      <c r="K5" s="973"/>
      <c r="L5" s="973"/>
      <c r="M5" s="974"/>
    </row>
    <row r="6" spans="2:17" s="7" customFormat="1" ht="38.25" customHeight="1" x14ac:dyDescent="0.3">
      <c r="E6" s="589" t="s">
        <v>269</v>
      </c>
      <c r="F6" s="589" t="s">
        <v>4</v>
      </c>
      <c r="G6" s="589" t="s">
        <v>5</v>
      </c>
      <c r="H6" s="589" t="s">
        <v>6</v>
      </c>
      <c r="I6" s="590" t="s">
        <v>7</v>
      </c>
      <c r="J6" s="590" t="s">
        <v>8</v>
      </c>
      <c r="K6" s="589" t="s">
        <v>9</v>
      </c>
      <c r="L6" s="589" t="s">
        <v>10</v>
      </c>
      <c r="M6" s="590" t="s">
        <v>11</v>
      </c>
      <c r="N6" s="18"/>
      <c r="O6" s="18"/>
      <c r="P6" s="18"/>
    </row>
    <row r="7" spans="2:17" s="6" customFormat="1" ht="13" x14ac:dyDescent="0.3">
      <c r="E7" s="591"/>
      <c r="F7" s="591">
        <v>20</v>
      </c>
      <c r="G7" s="591">
        <v>50</v>
      </c>
      <c r="H7" s="591">
        <v>100</v>
      </c>
      <c r="I7" s="591">
        <v>150</v>
      </c>
      <c r="J7" s="591">
        <v>250</v>
      </c>
      <c r="K7" s="591">
        <v>500</v>
      </c>
      <c r="L7" s="591">
        <v>1000</v>
      </c>
      <c r="M7" s="591">
        <v>2500</v>
      </c>
    </row>
    <row r="8" spans="2:17" ht="13" x14ac:dyDescent="0.3">
      <c r="E8" s="592">
        <v>0</v>
      </c>
      <c r="F8" s="592">
        <v>0.26439999999999997</v>
      </c>
      <c r="G8" s="592">
        <v>0.56305000000000005</v>
      </c>
      <c r="H8" s="592">
        <v>0.75364999999999993</v>
      </c>
      <c r="I8" s="592">
        <v>0.91900000000000004</v>
      </c>
      <c r="J8" s="592">
        <v>1.1358999999999999</v>
      </c>
      <c r="K8" s="592">
        <v>1.2319</v>
      </c>
      <c r="L8" s="592">
        <v>1.3910499999999999</v>
      </c>
      <c r="M8" s="592">
        <v>1.84755</v>
      </c>
      <c r="P8" s="5"/>
    </row>
    <row r="9" spans="2:17" ht="13" x14ac:dyDescent="0.3">
      <c r="E9" s="592">
        <v>1.1233333333333333E-2</v>
      </c>
      <c r="F9" s="592">
        <v>0.21833333333333335</v>
      </c>
      <c r="G9" s="592">
        <v>0.38800000000000007</v>
      </c>
      <c r="H9" s="592">
        <v>0.48816666666666669</v>
      </c>
      <c r="I9" s="592">
        <v>0.5423</v>
      </c>
      <c r="J9" s="592">
        <v>0.5769333333333333</v>
      </c>
      <c r="K9" s="592">
        <v>0.60623333333333329</v>
      </c>
      <c r="L9" s="592">
        <v>0.62353333333333338</v>
      </c>
      <c r="M9" s="592">
        <v>0.63719999999999999</v>
      </c>
      <c r="P9" s="5"/>
    </row>
    <row r="10" spans="2:17" ht="13" x14ac:dyDescent="0.3">
      <c r="E10" s="592">
        <v>1.4999999999999999E-2</v>
      </c>
      <c r="F10" s="592">
        <v>0.20494999999999999</v>
      </c>
      <c r="G10" s="592">
        <v>0.35314999999999996</v>
      </c>
      <c r="H10" s="592">
        <v>0.42235</v>
      </c>
      <c r="I10" s="592">
        <v>0.46355000000000002</v>
      </c>
      <c r="J10" s="592">
        <v>0.49370000000000003</v>
      </c>
      <c r="K10" s="592">
        <v>0.50109999999999999</v>
      </c>
      <c r="L10" s="592">
        <v>0.50875000000000004</v>
      </c>
      <c r="M10" s="592">
        <v>0.51729999999999998</v>
      </c>
      <c r="P10" s="5"/>
    </row>
    <row r="11" spans="2:17" ht="13" x14ac:dyDescent="0.3">
      <c r="E11" s="592">
        <v>2.6140000000000004E-2</v>
      </c>
      <c r="F11" s="592">
        <v>0.17821999999999999</v>
      </c>
      <c r="G11" s="592">
        <v>0.27854000000000001</v>
      </c>
      <c r="H11" s="592">
        <v>0.32932</v>
      </c>
      <c r="I11" s="592">
        <v>0.35440000000000005</v>
      </c>
      <c r="J11" s="592">
        <v>0.37078</v>
      </c>
      <c r="K11" s="592">
        <v>0.38445999999999997</v>
      </c>
      <c r="L11" s="592">
        <v>0.39239999999999997</v>
      </c>
      <c r="M11" s="592">
        <v>0.39360000000000006</v>
      </c>
      <c r="P11" s="5"/>
    </row>
    <row r="12" spans="2:17" ht="13" x14ac:dyDescent="0.3">
      <c r="E12" s="592">
        <v>0.03</v>
      </c>
      <c r="F12" s="592">
        <v>0.16816666666666669</v>
      </c>
      <c r="G12" s="592">
        <v>0.2537666666666667</v>
      </c>
      <c r="H12" s="592">
        <v>0.29176666666666667</v>
      </c>
      <c r="I12" s="592">
        <v>0.3116666666666667</v>
      </c>
      <c r="J12" s="592">
        <v>0.33163333333333328</v>
      </c>
      <c r="K12" s="592">
        <v>0.33136666666666664</v>
      </c>
      <c r="L12" s="592">
        <v>0.3358666666666667</v>
      </c>
      <c r="M12" s="592">
        <v>0.33970000000000006</v>
      </c>
      <c r="P12" s="5"/>
    </row>
    <row r="13" spans="2:17" ht="13" x14ac:dyDescent="0.3">
      <c r="E13" s="592">
        <v>4.2216666666666673E-2</v>
      </c>
      <c r="F13" s="592">
        <v>0.15076666666666666</v>
      </c>
      <c r="G13" s="592">
        <v>0.21545</v>
      </c>
      <c r="H13" s="592">
        <v>0.24523333333333333</v>
      </c>
      <c r="I13" s="592">
        <v>0.25916666666666666</v>
      </c>
      <c r="J13" s="592">
        <v>0.26793333333333336</v>
      </c>
      <c r="K13" s="592">
        <v>0.27526166666666668</v>
      </c>
      <c r="L13" s="592">
        <v>0.27948333333333331</v>
      </c>
      <c r="M13" s="592">
        <v>0.28025000000000005</v>
      </c>
      <c r="P13" s="5"/>
    </row>
    <row r="14" spans="2:17" ht="13" x14ac:dyDescent="0.3">
      <c r="E14" s="592">
        <v>0.05</v>
      </c>
      <c r="F14" s="592">
        <v>0.1358</v>
      </c>
      <c r="G14" s="592">
        <v>0.18920000000000001</v>
      </c>
      <c r="H14" s="592">
        <v>0.20824999999999999</v>
      </c>
      <c r="I14" s="592">
        <v>0.21825</v>
      </c>
      <c r="J14" s="592">
        <v>0.22500000000000001</v>
      </c>
      <c r="K14" s="592">
        <v>0.22655</v>
      </c>
      <c r="L14" s="592">
        <v>0.22814999999999999</v>
      </c>
      <c r="M14" s="592">
        <v>0.22994999999999999</v>
      </c>
      <c r="P14" s="5"/>
    </row>
    <row r="15" spans="2:17" ht="13" x14ac:dyDescent="0.3">
      <c r="E15" s="592">
        <v>5.9716666666666668E-2</v>
      </c>
      <c r="F15" s="592">
        <v>0.13004999999999997</v>
      </c>
      <c r="G15" s="592">
        <v>0.16553333333333334</v>
      </c>
      <c r="H15" s="592">
        <v>0.19113333333333335</v>
      </c>
      <c r="I15" s="592">
        <v>0.20081666666666667</v>
      </c>
      <c r="J15" s="592">
        <v>0.20613333333333331</v>
      </c>
      <c r="K15" s="592">
        <v>0.21046666666666666</v>
      </c>
      <c r="L15" s="592">
        <v>0.21295</v>
      </c>
      <c r="M15" s="592">
        <v>0.21328333333333335</v>
      </c>
      <c r="P15" s="5"/>
    </row>
    <row r="16" spans="2:17" ht="13" x14ac:dyDescent="0.3">
      <c r="E16" s="592">
        <v>7.4999999999999997E-2</v>
      </c>
      <c r="F16" s="592">
        <v>0.11593333333333333</v>
      </c>
      <c r="G16" s="592">
        <v>0.14596666666666666</v>
      </c>
      <c r="H16" s="592">
        <v>0.15780000000000002</v>
      </c>
      <c r="I16" s="592">
        <v>0.16369999999999998</v>
      </c>
      <c r="J16" s="592">
        <v>0.1673</v>
      </c>
      <c r="K16" s="592">
        <v>0.16906666666666667</v>
      </c>
      <c r="L16" s="592">
        <v>0.17023333333333335</v>
      </c>
      <c r="M16" s="592">
        <v>0.17120000000000002</v>
      </c>
      <c r="P16" s="5"/>
    </row>
  </sheetData>
  <sheetProtection algorithmName="SHA-512" hashValue="q5X9zsUSKwXDT+FlhCb7rA9azM6sONZi3tzFIOeqr5ER2HOPOOZhNNO6k7tm7tQvABXD9JHr+CVOEWLw39Bj/Q==" saltValue="K+Z5OXFgWjEHpadj5KBA2w==" spinCount="100000" sheet="1" objects="1" scenarios="1"/>
  <mergeCells count="2">
    <mergeCell ref="E5:M5"/>
    <mergeCell ref="D1:O2"/>
  </mergeCells>
  <phoneticPr fontId="0" type="noConversion"/>
  <pageMargins left="0.86" right="0.56999999999999995" top="1" bottom="0.42" header="0.5" footer="0.17"/>
  <pageSetup scale="85" orientation="portrait" r:id="rId1"/>
  <headerFooter alignWithMargins="0">
    <oddHeader>&amp;C&amp;G</oddHeader>
    <oddFooter>&amp;L&amp;F&amp;R&amp;D&amp;C&amp;"Calibri"&amp;11&amp;K000000Page &amp;P of &amp;N_x000D_&amp;1#&amp;"Arial"&amp;6&amp;K626469Internal</oddFooter>
  </headerFooter>
  <drawing r:id="rId2"/>
  <legacyDrawing r:id="rId3"/>
  <legacyDrawingHF r:id="rId4"/>
  <oleObjects>
    <mc:AlternateContent xmlns:mc="http://schemas.openxmlformats.org/markup-compatibility/2006">
      <mc:Choice Requires="x14">
        <oleObject progId="Equation.3" shapeId="1027" r:id="rId5">
          <objectPr defaultSize="0" autoPict="0" r:id="rId6">
            <anchor moveWithCells="1" sizeWithCells="1">
              <from>
                <xdr:col>4</xdr:col>
                <xdr:colOff>501650</xdr:colOff>
                <xdr:row>17</xdr:row>
                <xdr:rowOff>114300</xdr:rowOff>
              </from>
              <to>
                <xdr:col>12</xdr:col>
                <xdr:colOff>184150</xdr:colOff>
                <xdr:row>21</xdr:row>
                <xdr:rowOff>63500</xdr:rowOff>
              </to>
            </anchor>
          </objectPr>
        </oleObject>
      </mc:Choice>
      <mc:Fallback>
        <oleObject progId="Equation.3" shapeId="1027"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2:Y51"/>
  <sheetViews>
    <sheetView zoomScaleNormal="100" workbookViewId="0">
      <selection activeCell="C10" sqref="C10"/>
    </sheetView>
  </sheetViews>
  <sheetFormatPr defaultRowHeight="12.5" x14ac:dyDescent="0.25"/>
  <cols>
    <col min="7" max="7" width="11" customWidth="1"/>
    <col min="8" max="8" width="33.6328125" customWidth="1"/>
    <col min="9" max="9" width="9.36328125" customWidth="1"/>
    <col min="10" max="10" width="8.36328125" customWidth="1"/>
    <col min="14" max="14" width="12.54296875" customWidth="1"/>
    <col min="17" max="17" width="38.453125" customWidth="1"/>
    <col min="20" max="20" width="12.54296875" customWidth="1"/>
  </cols>
  <sheetData>
    <row r="2" spans="2:20" ht="24.75" customHeight="1" x14ac:dyDescent="0.25"/>
    <row r="4" spans="2:20" ht="42.75" customHeight="1" x14ac:dyDescent="0.25"/>
    <row r="5" spans="2:20" x14ac:dyDescent="0.25">
      <c r="Q5">
        <f>IF(C9&lt;20,20,IF(C9&lt;50,50,IF(C9&lt;100,100,IF(C9&lt;1000,1000,5000))))</f>
        <v>5000</v>
      </c>
    </row>
    <row r="6" spans="2:20" ht="42" customHeight="1" thickBot="1" x14ac:dyDescent="0.3">
      <c r="K6" s="658" t="s">
        <v>1006</v>
      </c>
      <c r="L6" s="658" t="s">
        <v>1005</v>
      </c>
      <c r="O6" s="93" t="e">
        <f>N8/'AccuSine Sizing Tool'!E57</f>
        <v>#DIV/0!</v>
      </c>
    </row>
    <row r="7" spans="2:20" x14ac:dyDescent="0.25">
      <c r="F7" s="20"/>
      <c r="G7" s="20" t="s">
        <v>140</v>
      </c>
      <c r="H7" s="20" t="s">
        <v>76</v>
      </c>
      <c r="I7" s="21"/>
      <c r="J7" t="s">
        <v>141</v>
      </c>
      <c r="K7" s="658"/>
      <c r="L7" s="658"/>
      <c r="M7" t="s">
        <v>178</v>
      </c>
      <c r="Q7" s="665" t="s">
        <v>129</v>
      </c>
      <c r="R7" s="666"/>
      <c r="S7" s="666"/>
      <c r="T7" s="667"/>
    </row>
    <row r="8" spans="2:20" ht="13" x14ac:dyDescent="0.3">
      <c r="C8" t="s">
        <v>249</v>
      </c>
      <c r="F8" s="20" t="s">
        <v>125</v>
      </c>
      <c r="G8" s="25">
        <f>IF('Electrical System 1-line'!F16="",0,'Electrical System 1-line'!D18)</f>
        <v>0</v>
      </c>
      <c r="H8" s="24">
        <f>'Electrical System 1-line'!D17</f>
        <v>0</v>
      </c>
      <c r="I8" s="26"/>
      <c r="J8" s="5">
        <f>G8*H8*3^0.5/1000000</f>
        <v>0</v>
      </c>
      <c r="K8" s="5">
        <f>IF('Electrical System 1-line'!F16="x",'work page'!J8,0)</f>
        <v>0</v>
      </c>
      <c r="L8" s="5">
        <f>IF(M8&gt;0,M8,IF(M9&gt;0,M9,0))</f>
        <v>0</v>
      </c>
      <c r="M8">
        <f>IF(H$13=0,0,G8*H8/H$13)</f>
        <v>0</v>
      </c>
      <c r="N8" s="93">
        <f>IF(M8&gt;0,M8,IF(M9&gt;0,M9,0))</f>
        <v>0</v>
      </c>
      <c r="Q8" s="668" t="s">
        <v>130</v>
      </c>
      <c r="R8" s="661"/>
      <c r="S8" s="661" t="s">
        <v>131</v>
      </c>
      <c r="T8" s="662"/>
    </row>
    <row r="9" spans="2:20" ht="13" x14ac:dyDescent="0.3">
      <c r="C9">
        <f>IF(G13=0,2501,G13/('AccuSine Sizing Tool'!S58))</f>
        <v>2501</v>
      </c>
      <c r="F9" s="20" t="s">
        <v>126</v>
      </c>
      <c r="G9" s="25">
        <f>IF('Electrical System 1-line'!J16="",0,IF('Electrical System 1-line'!N20=0,0,IF('Electrical System 1-line'!N19=0,0,IF('Electrical System 1-line'!N18=0,0,'Electrical System 1-line'!N17/'Electrical System 1-line'!N20/'Electrical System 1-line'!N19/'Electrical System 1-line'!N18/3^0.5*1000))))</f>
        <v>0</v>
      </c>
      <c r="H9" s="24">
        <f>'Electrical System 1-line'!N18</f>
        <v>0</v>
      </c>
      <c r="I9" s="26"/>
      <c r="J9" s="5">
        <f>G9*H9*3^0.5/1000000</f>
        <v>0</v>
      </c>
      <c r="K9" s="5">
        <f>IF('Electrical System 1-line'!J16="x",'work page'!J9,0)</f>
        <v>0</v>
      </c>
      <c r="L9" s="5"/>
      <c r="M9">
        <f>IF(H$13=0,0,G9*H9/H$13)</f>
        <v>0</v>
      </c>
      <c r="Q9" s="36" t="s">
        <v>132</v>
      </c>
      <c r="R9" s="37">
        <v>20</v>
      </c>
      <c r="S9" s="663">
        <v>0.05</v>
      </c>
      <c r="T9" s="664"/>
    </row>
    <row r="10" spans="2:20" ht="13" x14ac:dyDescent="0.3">
      <c r="F10" s="20" t="s">
        <v>127</v>
      </c>
      <c r="G10" s="25">
        <f>IF('Electrical System 1-line'!E27=0,0,IF('Electrical System 1-line'!E28=0,0,'Electrical System 1-line'!E26/'Electrical System 1-line'!E28/'Electrical System 1-line'!E27/3^0.5*1000))</f>
        <v>0</v>
      </c>
      <c r="H10" s="24">
        <f>'Electrical System 1-line'!E27</f>
        <v>0</v>
      </c>
      <c r="I10" s="26"/>
      <c r="J10" s="5">
        <f>G10*H10*3^0.5/1000000</f>
        <v>0</v>
      </c>
      <c r="K10" s="5">
        <f>IF(J10&lt;L8,J10,L8)</f>
        <v>0</v>
      </c>
      <c r="L10" s="5"/>
      <c r="M10">
        <f>IF(H$13=0,0,G10*H10/H$13)</f>
        <v>0</v>
      </c>
      <c r="N10" s="93">
        <f>IF(M10&gt;L8,L8,M10)</f>
        <v>0</v>
      </c>
      <c r="O10">
        <f>IF(L8=0,M10,IF(M10&gt;L8,L8,M10))</f>
        <v>0</v>
      </c>
      <c r="Q10" s="36" t="s">
        <v>133</v>
      </c>
      <c r="R10" s="37">
        <v>50</v>
      </c>
      <c r="S10" s="663">
        <v>0.08</v>
      </c>
      <c r="T10" s="664"/>
    </row>
    <row r="11" spans="2:20" ht="13" x14ac:dyDescent="0.3">
      <c r="F11" s="20" t="s">
        <v>128</v>
      </c>
      <c r="G11" s="25">
        <f>IF('Electrical System 1-line'!J35=0,0,'Electrical System 1-line'!J35*1000/'Electrical System 1-line'!J37/3^0.5/'Electrical System 1-line'!J36)</f>
        <v>0</v>
      </c>
      <c r="H11" s="24">
        <f>'Electrical System 1-line'!J36</f>
        <v>0</v>
      </c>
      <c r="I11" s="26"/>
      <c r="J11" s="5">
        <f>G11*H11*3^0.5/1000000</f>
        <v>0</v>
      </c>
      <c r="K11" s="5">
        <f>IF(J11&gt;K10,K10,J11)</f>
        <v>0</v>
      </c>
      <c r="L11" s="5"/>
      <c r="M11">
        <f>IF(H13=0,0,G11*H11/H$13)</f>
        <v>0</v>
      </c>
      <c r="N11" s="93">
        <f>IF(M11&gt;M10,M10,M11)</f>
        <v>0</v>
      </c>
      <c r="O11" s="93">
        <f>IF(M11&gt;L8,L8,M11)</f>
        <v>0</v>
      </c>
      <c r="P11">
        <f>IF(L8=0,M11,IF(M11&gt;L8,L8,M11))</f>
        <v>0</v>
      </c>
      <c r="Q11" s="36" t="s">
        <v>134</v>
      </c>
      <c r="R11" s="37">
        <v>100</v>
      </c>
      <c r="S11" s="663">
        <v>0.12</v>
      </c>
      <c r="T11" s="664"/>
    </row>
    <row r="12" spans="2:20" ht="13" x14ac:dyDescent="0.3">
      <c r="P12">
        <f>IF(P11&gt;0,P11,IF(O10&gt;0,O10,IF(L8&gt;0,L8,0)))</f>
        <v>0</v>
      </c>
      <c r="Q12" s="36" t="s">
        <v>135</v>
      </c>
      <c r="R12" s="37">
        <v>1000</v>
      </c>
      <c r="S12" s="663">
        <v>0.15</v>
      </c>
      <c r="T12" s="664"/>
    </row>
    <row r="13" spans="2:20" ht="13.5" thickBot="1" x14ac:dyDescent="0.35">
      <c r="F13" t="s">
        <v>177</v>
      </c>
      <c r="G13" s="6">
        <f>IF('AccuSine Sizing Tool'!E11=Q22,'work page'!L8,IF('AccuSine Sizing Tool'!E11=Q23,'work page'!L8,IF('AccuSine Sizing Tool'!E11=Q24,'work page'!O10,IF('AccuSine Sizing Tool'!E11=Q25,'work page'!P12,0))))</f>
        <v>0</v>
      </c>
      <c r="H13" s="6">
        <f>'Electrical System 1-line'!J40</f>
        <v>480</v>
      </c>
      <c r="P13" s="73">
        <f>IF(G13&lt;P12,G13,P12)</f>
        <v>0</v>
      </c>
      <c r="Q13" s="38" t="s">
        <v>136</v>
      </c>
      <c r="R13" s="39">
        <v>5000</v>
      </c>
      <c r="S13" s="669">
        <v>0.2</v>
      </c>
      <c r="T13" s="670"/>
    </row>
    <row r="14" spans="2:20" x14ac:dyDescent="0.25">
      <c r="B14" s="237"/>
      <c r="F14" s="2" t="s">
        <v>289</v>
      </c>
      <c r="G14" s="289">
        <f>L8</f>
        <v>0</v>
      </c>
      <c r="H14" t="s">
        <v>1007</v>
      </c>
    </row>
    <row r="15" spans="2:20" ht="13" x14ac:dyDescent="0.3">
      <c r="Q15" s="659" t="s">
        <v>179</v>
      </c>
      <c r="R15" s="659"/>
      <c r="S15" s="5">
        <f>VLOOKUP(Q5,R9:T13,2)</f>
        <v>0.2</v>
      </c>
    </row>
    <row r="16" spans="2:20" s="18" customFormat="1" x14ac:dyDescent="0.25">
      <c r="G16" s="18" t="s">
        <v>82</v>
      </c>
      <c r="H16" s="18" t="s">
        <v>85</v>
      </c>
      <c r="I16" s="18" t="s">
        <v>180</v>
      </c>
      <c r="J16" s="94"/>
      <c r="Q16" s="18" t="s">
        <v>138</v>
      </c>
      <c r="S16" s="23"/>
      <c r="T16" s="18" t="s">
        <v>137</v>
      </c>
    </row>
    <row r="17" spans="7:25" x14ac:dyDescent="0.25">
      <c r="G17" t="s">
        <v>83</v>
      </c>
      <c r="H17" t="s">
        <v>86</v>
      </c>
      <c r="I17">
        <v>0.95</v>
      </c>
      <c r="J17" s="73"/>
      <c r="P17" t="s">
        <v>18</v>
      </c>
      <c r="Q17" s="19">
        <v>0.08</v>
      </c>
      <c r="S17" s="19" t="s">
        <v>18</v>
      </c>
      <c r="T17" s="19">
        <v>0.12</v>
      </c>
    </row>
    <row r="18" spans="7:25" ht="13" x14ac:dyDescent="0.3">
      <c r="G18" t="s">
        <v>84</v>
      </c>
      <c r="H18" s="22" t="s">
        <v>93</v>
      </c>
      <c r="I18">
        <f>-0.05</f>
        <v>-0.05</v>
      </c>
      <c r="J18" s="73"/>
      <c r="K18" s="19"/>
      <c r="P18" t="s">
        <v>139</v>
      </c>
      <c r="Q18" s="95">
        <f>Q17*IF('AccuSine Sizing Tool'!$E$11="Utility",$L$8/10,IF('AccuSine Sizing Tool'!$E$11="Generator",$L$8/10,IF('AccuSine Sizing Tool'!$E$11="Distribution Transformer - Secondary",$K$10/10,IF('AccuSine Sizing Tool'!$E$11="Local Transformer - Secondary",$K$11/10,'work page'!Q17))))</f>
        <v>0</v>
      </c>
      <c r="S18" t="s">
        <v>139</v>
      </c>
      <c r="T18" s="95">
        <f>T17*IF('AccuSine Sizing Tool'!$E$11="Utility",$L$8/10,IF('AccuSine Sizing Tool'!$E$11="Generator",$L$8/10,IF('AccuSine Sizing Tool'!$E$11="Distribution Transformer - Secondary",$K$10/10,IF('AccuSine Sizing Tool'!$E$11="Local Transformer - Secondary",$K$11/10,'work page'!T17))))</f>
        <v>0</v>
      </c>
    </row>
    <row r="19" spans="7:25" x14ac:dyDescent="0.25">
      <c r="G19" t="s">
        <v>75</v>
      </c>
      <c r="H19" t="s">
        <v>54</v>
      </c>
      <c r="I19">
        <v>1</v>
      </c>
      <c r="J19" s="73"/>
      <c r="L19" s="19"/>
    </row>
    <row r="20" spans="7:25" ht="13" x14ac:dyDescent="0.3">
      <c r="H20" s="22" t="s">
        <v>87</v>
      </c>
      <c r="I20">
        <f>-0.05</f>
        <v>-0.05</v>
      </c>
      <c r="K20" s="19"/>
    </row>
    <row r="21" spans="7:25" ht="13" x14ac:dyDescent="0.3">
      <c r="H21" s="22" t="s">
        <v>88</v>
      </c>
      <c r="I21">
        <f>-0.05</f>
        <v>-0.05</v>
      </c>
      <c r="K21" s="19"/>
      <c r="Q21" s="18" t="s">
        <v>111</v>
      </c>
    </row>
    <row r="22" spans="7:25" ht="13" x14ac:dyDescent="0.3">
      <c r="H22" s="22" t="s">
        <v>89</v>
      </c>
      <c r="I22">
        <f>-0.05</f>
        <v>-0.05</v>
      </c>
      <c r="K22" s="4"/>
      <c r="Q22" t="s">
        <v>107</v>
      </c>
      <c r="X22" t="s">
        <v>112</v>
      </c>
      <c r="Y22" t="str">
        <f>IF('Electrical System 1-line'!E26=0,"no","yes")</f>
        <v>no</v>
      </c>
    </row>
    <row r="23" spans="7:25" x14ac:dyDescent="0.25">
      <c r="H23" t="s">
        <v>90</v>
      </c>
      <c r="I23">
        <v>0.95</v>
      </c>
      <c r="K23" s="19"/>
      <c r="Q23" t="s">
        <v>108</v>
      </c>
      <c r="X23" t="s">
        <v>108</v>
      </c>
      <c r="Y23" t="str">
        <f>IF('Electrical System 1-line'!J16=0,"no","yes")</f>
        <v>no</v>
      </c>
    </row>
    <row r="24" spans="7:25" ht="13" x14ac:dyDescent="0.3">
      <c r="H24" s="22" t="s">
        <v>91</v>
      </c>
      <c r="I24">
        <f>-0.05</f>
        <v>-0.05</v>
      </c>
      <c r="K24" s="19"/>
      <c r="Q24" t="s">
        <v>112</v>
      </c>
      <c r="X24" t="s">
        <v>230</v>
      </c>
      <c r="Y24" t="str">
        <f>IF('Electrical System 1-line'!J35=0,"no","yes")</f>
        <v>no</v>
      </c>
    </row>
    <row r="25" spans="7:25" x14ac:dyDescent="0.25">
      <c r="H25" t="s">
        <v>92</v>
      </c>
      <c r="I25">
        <v>1</v>
      </c>
      <c r="L25" s="19"/>
      <c r="Q25" t="s">
        <v>230</v>
      </c>
      <c r="X25" t="s">
        <v>107</v>
      </c>
      <c r="Y25" t="str">
        <f>IF('Electrical System 1-line'!D17=0,"no","yes")</f>
        <v>no</v>
      </c>
    </row>
    <row r="26" spans="7:25" x14ac:dyDescent="0.25">
      <c r="H26" t="s">
        <v>94</v>
      </c>
      <c r="I26">
        <v>1</v>
      </c>
      <c r="K26" s="19"/>
    </row>
    <row r="27" spans="7:25" x14ac:dyDescent="0.25">
      <c r="H27" t="s">
        <v>101</v>
      </c>
      <c r="I27">
        <v>0.97499999999999998</v>
      </c>
      <c r="K27" s="19"/>
      <c r="N27" t="s">
        <v>41</v>
      </c>
      <c r="O27" s="11"/>
    </row>
    <row r="28" spans="7:25" ht="13" x14ac:dyDescent="0.3">
      <c r="H28" t="s">
        <v>102</v>
      </c>
      <c r="I28">
        <v>1</v>
      </c>
      <c r="L28" s="19"/>
      <c r="O28" s="660" t="s">
        <v>47</v>
      </c>
      <c r="P28" s="660"/>
      <c r="Q28" s="660"/>
      <c r="R28" s="660"/>
      <c r="S28" s="660"/>
      <c r="T28" s="660"/>
      <c r="U28" s="660"/>
      <c r="V28" s="660"/>
    </row>
    <row r="29" spans="7:25" ht="13" x14ac:dyDescent="0.3">
      <c r="N29" s="13" t="s">
        <v>17</v>
      </c>
      <c r="O29" s="17">
        <v>20</v>
      </c>
      <c r="P29" s="15">
        <v>50</v>
      </c>
      <c r="Q29" s="15">
        <v>100</v>
      </c>
      <c r="R29" s="15">
        <v>150</v>
      </c>
      <c r="S29" s="15">
        <v>250</v>
      </c>
      <c r="T29" s="15">
        <v>500</v>
      </c>
      <c r="U29" s="15">
        <v>1000</v>
      </c>
      <c r="V29" s="15">
        <v>2500</v>
      </c>
    </row>
    <row r="30" spans="7:25" x14ac:dyDescent="0.25">
      <c r="N30" s="16">
        <v>0</v>
      </c>
      <c r="O30" s="16">
        <v>0.26439999999999997</v>
      </c>
      <c r="P30" s="16">
        <v>0.56305000000000005</v>
      </c>
      <c r="Q30" s="16">
        <v>0.75364999999999993</v>
      </c>
      <c r="R30" s="16">
        <v>0.91900000000000004</v>
      </c>
      <c r="S30" s="16">
        <v>1.1358999999999999</v>
      </c>
      <c r="T30" s="16">
        <v>1.2319</v>
      </c>
      <c r="U30" s="16">
        <v>1.3910499999999999</v>
      </c>
      <c r="V30" s="16">
        <v>1.84755</v>
      </c>
    </row>
    <row r="31" spans="7:25" x14ac:dyDescent="0.25">
      <c r="N31" s="16">
        <v>1.15E-2</v>
      </c>
      <c r="O31" s="16">
        <v>0.21833333333333335</v>
      </c>
      <c r="P31" s="16">
        <v>0.38800000000000007</v>
      </c>
      <c r="Q31" s="16">
        <v>0.48816666666666669</v>
      </c>
      <c r="R31" s="16">
        <v>0.5423</v>
      </c>
      <c r="S31" s="16">
        <v>0.5769333333333333</v>
      </c>
      <c r="T31" s="16">
        <v>0.60623333333333329</v>
      </c>
      <c r="U31" s="16">
        <v>0.62353333333333338</v>
      </c>
      <c r="V31" s="16">
        <v>0.63719999999999999</v>
      </c>
    </row>
    <row r="32" spans="7:25" ht="13" x14ac:dyDescent="0.3">
      <c r="M32" t="s">
        <v>173</v>
      </c>
      <c r="N32" s="35">
        <v>1.4999999999999999E-2</v>
      </c>
      <c r="O32" s="35">
        <v>0.20494999999999999</v>
      </c>
      <c r="P32" s="35">
        <v>0.35314999999999996</v>
      </c>
      <c r="Q32" s="35">
        <v>0.42235</v>
      </c>
      <c r="R32" s="35">
        <v>0.46355000000000002</v>
      </c>
      <c r="S32" s="35">
        <v>0.49370000000000003</v>
      </c>
      <c r="T32" s="35">
        <v>0.50109999999999999</v>
      </c>
      <c r="U32" s="35">
        <v>0.50875000000000004</v>
      </c>
      <c r="V32" s="35">
        <v>0.51729999999999998</v>
      </c>
    </row>
    <row r="33" spans="8:22" ht="13" x14ac:dyDescent="0.3">
      <c r="M33" t="s">
        <v>172</v>
      </c>
      <c r="N33" s="35">
        <v>2.5000000000000001E-2</v>
      </c>
      <c r="O33" s="35">
        <v>0.17821999999999999</v>
      </c>
      <c r="P33" s="35">
        <v>0.27854000000000001</v>
      </c>
      <c r="Q33" s="35">
        <v>0.32932</v>
      </c>
      <c r="R33" s="35">
        <v>0.35440000000000005</v>
      </c>
      <c r="S33" s="35">
        <v>0.37078</v>
      </c>
      <c r="T33" s="35">
        <v>0.38445999999999997</v>
      </c>
      <c r="U33" s="35">
        <v>0.39239999999999997</v>
      </c>
      <c r="V33" s="35">
        <v>0.39360000000000006</v>
      </c>
    </row>
    <row r="34" spans="8:22" x14ac:dyDescent="0.25">
      <c r="N34" s="16">
        <v>0.03</v>
      </c>
      <c r="O34" s="16">
        <v>0.16816666666666669</v>
      </c>
      <c r="P34" s="16">
        <v>0.2537666666666667</v>
      </c>
      <c r="Q34" s="16">
        <v>0.29176666666666667</v>
      </c>
      <c r="R34" s="16">
        <v>0.3116666666666667</v>
      </c>
      <c r="S34" s="16">
        <v>0.33163333333333328</v>
      </c>
      <c r="T34" s="16">
        <v>0.33136666666666664</v>
      </c>
      <c r="U34" s="16">
        <v>0.3358666666666667</v>
      </c>
      <c r="V34" s="16">
        <v>0.33970000000000006</v>
      </c>
    </row>
    <row r="35" spans="8:22" x14ac:dyDescent="0.25">
      <c r="N35" s="16">
        <v>4.2500000000000003E-2</v>
      </c>
      <c r="O35" s="16">
        <v>0.15076666666666666</v>
      </c>
      <c r="P35" s="16">
        <v>0.21545</v>
      </c>
      <c r="Q35" s="16">
        <v>0.24523333333333333</v>
      </c>
      <c r="R35" s="16">
        <v>0.25916666666666666</v>
      </c>
      <c r="S35" s="16">
        <v>0.26793333333333336</v>
      </c>
      <c r="T35" s="16">
        <v>0.27526166666666668</v>
      </c>
      <c r="U35" s="16">
        <v>0.27948333333333331</v>
      </c>
      <c r="V35" s="16">
        <v>0.28025000000000005</v>
      </c>
    </row>
    <row r="36" spans="8:22" ht="13" x14ac:dyDescent="0.3">
      <c r="M36" t="s">
        <v>171</v>
      </c>
      <c r="N36" s="35">
        <v>0.05</v>
      </c>
      <c r="O36" s="35">
        <v>0.1358</v>
      </c>
      <c r="P36" s="35">
        <v>0.18920000000000001</v>
      </c>
      <c r="Q36" s="35">
        <v>0.20824999999999999</v>
      </c>
      <c r="R36" s="35">
        <v>0.21825</v>
      </c>
      <c r="S36" s="35">
        <v>0.22500000000000001</v>
      </c>
      <c r="T36" s="35">
        <v>0.22655</v>
      </c>
      <c r="U36" s="35">
        <v>0.22814999999999999</v>
      </c>
      <c r="V36" s="35">
        <v>0.22994999999999999</v>
      </c>
    </row>
    <row r="37" spans="8:22" x14ac:dyDescent="0.25">
      <c r="N37" s="16">
        <v>0.06</v>
      </c>
      <c r="O37" s="16">
        <v>0.13004999999999997</v>
      </c>
      <c r="P37" s="16">
        <v>0.16553333333333334</v>
      </c>
      <c r="Q37" s="16">
        <v>0.19113333333333335</v>
      </c>
      <c r="R37" s="16">
        <v>0.20081666666666667</v>
      </c>
      <c r="S37" s="16">
        <v>0.20613333333333331</v>
      </c>
      <c r="T37" s="16">
        <v>0.21046666666666666</v>
      </c>
      <c r="U37" s="16">
        <v>0.21295</v>
      </c>
      <c r="V37" s="16">
        <v>0.21328333333333335</v>
      </c>
    </row>
    <row r="38" spans="8:22" x14ac:dyDescent="0.25">
      <c r="N38" s="16">
        <v>7.4999999999999997E-2</v>
      </c>
      <c r="O38" s="16">
        <v>0.11593333333333333</v>
      </c>
      <c r="P38" s="16">
        <v>0.14596666666666666</v>
      </c>
      <c r="Q38" s="16">
        <v>0.15780000000000002</v>
      </c>
      <c r="R38" s="16">
        <v>0.16369999999999998</v>
      </c>
      <c r="S38" s="16">
        <v>0.1673</v>
      </c>
      <c r="T38" s="16">
        <v>0.16906666666666667</v>
      </c>
      <c r="U38" s="16">
        <v>0.17023333333333335</v>
      </c>
      <c r="V38" s="16">
        <v>0.17120000000000002</v>
      </c>
    </row>
    <row r="39" spans="8:22" x14ac:dyDescent="0.25">
      <c r="H39" t="s">
        <v>113</v>
      </c>
    </row>
    <row r="40" spans="8:22" x14ac:dyDescent="0.25">
      <c r="H40" t="s">
        <v>114</v>
      </c>
    </row>
    <row r="45" spans="8:22" x14ac:dyDescent="0.25">
      <c r="H45" t="s">
        <v>105</v>
      </c>
    </row>
    <row r="46" spans="8:22" x14ac:dyDescent="0.25">
      <c r="H46" t="s">
        <v>115</v>
      </c>
    </row>
    <row r="47" spans="8:22" x14ac:dyDescent="0.25">
      <c r="H47" s="4">
        <v>1.4999999999999999E-2</v>
      </c>
      <c r="I47" s="4"/>
    </row>
    <row r="48" spans="8:22" x14ac:dyDescent="0.25">
      <c r="H48" s="4">
        <v>0.03</v>
      </c>
      <c r="I48" s="4"/>
    </row>
    <row r="49" spans="8:9" x14ac:dyDescent="0.25">
      <c r="H49" s="4">
        <v>0.05</v>
      </c>
      <c r="I49" s="4"/>
    </row>
    <row r="50" spans="8:9" x14ac:dyDescent="0.25">
      <c r="H50" s="4">
        <v>7.4999999999999997E-2</v>
      </c>
      <c r="I50" s="4"/>
    </row>
    <row r="51" spans="8:9" x14ac:dyDescent="0.25">
      <c r="H51" t="s">
        <v>116</v>
      </c>
    </row>
  </sheetData>
  <mergeCells count="12">
    <mergeCell ref="L6:L7"/>
    <mergeCell ref="K6:K7"/>
    <mergeCell ref="Q15:R15"/>
    <mergeCell ref="O28:V28"/>
    <mergeCell ref="S8:T8"/>
    <mergeCell ref="S9:T9"/>
    <mergeCell ref="Q7:T7"/>
    <mergeCell ref="Q8:R8"/>
    <mergeCell ref="S12:T12"/>
    <mergeCell ref="S13:T13"/>
    <mergeCell ref="S10:T10"/>
    <mergeCell ref="S11:T11"/>
  </mergeCells>
  <phoneticPr fontId="0" type="noConversion"/>
  <dataValidations count="2">
    <dataValidation type="textLength" showInputMessage="1" showErrorMessage="1" errorTitle="Measure" error="Select one of the entries in the dropdown menu." sqref="F16:F19" xr:uid="{00000000-0002-0000-0100-000000000000}">
      <formula1>F16</formula1>
      <formula2>G19</formula2>
    </dataValidation>
    <dataValidation type="list" showInputMessage="1" showErrorMessage="1" errorTitle="Measure" error="Select one of the entries in the dropdown menu." sqref="G18:G19" xr:uid="{00000000-0002-0000-0100-000001000000}">
      <formula1>$G$17:$G$19</formula1>
    </dataValidation>
  </dataValidations>
  <pageMargins left="0.75" right="0.75" top="1" bottom="1" header="0.5" footer="0.5"/>
  <pageSetup orientation="portrait" verticalDpi="1200" r:id="rId1"/>
  <headerFooter alignWithMargins="0">
    <oddFooter>&amp;C&amp;1#&amp;"Arial"&amp;6&amp;K626469Internal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F74"/>
  <sheetViews>
    <sheetView topLeftCell="J41" workbookViewId="0">
      <selection activeCell="L53" sqref="L53"/>
    </sheetView>
  </sheetViews>
  <sheetFormatPr defaultRowHeight="12.5" x14ac:dyDescent="0.25"/>
  <cols>
    <col min="1" max="1" width="14.453125" customWidth="1"/>
    <col min="2" max="2" width="9.08984375" style="11"/>
    <col min="8" max="8" width="11.36328125" customWidth="1"/>
  </cols>
  <sheetData>
    <row r="1" spans="1:18" ht="38" x14ac:dyDescent="0.3">
      <c r="A1" s="18" t="s">
        <v>79</v>
      </c>
      <c r="B1" s="10" t="s">
        <v>36</v>
      </c>
      <c r="I1" s="7" t="s">
        <v>39</v>
      </c>
      <c r="J1" s="671" t="s">
        <v>41</v>
      </c>
      <c r="K1" s="671"/>
      <c r="L1" s="671"/>
      <c r="M1" s="671"/>
      <c r="N1" s="671"/>
      <c r="O1" s="671"/>
      <c r="P1" s="671"/>
      <c r="Q1" s="671"/>
    </row>
    <row r="2" spans="1:18" ht="19.5" customHeight="1" x14ac:dyDescent="0.25">
      <c r="A2" t="s">
        <v>37</v>
      </c>
      <c r="B2" s="10" t="s">
        <v>38</v>
      </c>
      <c r="J2">
        <v>20</v>
      </c>
      <c r="K2">
        <v>50</v>
      </c>
      <c r="L2">
        <v>100</v>
      </c>
      <c r="M2">
        <v>200</v>
      </c>
      <c r="N2">
        <v>250</v>
      </c>
      <c r="O2">
        <v>500</v>
      </c>
      <c r="P2">
        <v>1000</v>
      </c>
      <c r="Q2">
        <v>2500</v>
      </c>
    </row>
    <row r="3" spans="1:18" x14ac:dyDescent="0.25">
      <c r="A3" s="9">
        <v>1</v>
      </c>
      <c r="B3" s="11">
        <v>0</v>
      </c>
      <c r="H3" t="s">
        <v>40</v>
      </c>
      <c r="I3">
        <f>(A11*B11+A12*B12)/(A11+A12)</f>
        <v>1.0438818181818181</v>
      </c>
      <c r="J3" s="4">
        <v>0.23960000000000001</v>
      </c>
      <c r="K3">
        <v>45.94</v>
      </c>
      <c r="L3">
        <v>60.24</v>
      </c>
      <c r="M3">
        <v>67.87</v>
      </c>
      <c r="O3">
        <v>81.010000000000005</v>
      </c>
      <c r="P3">
        <v>84.74</v>
      </c>
      <c r="Q3">
        <v>88.44</v>
      </c>
      <c r="R3" t="s">
        <v>42</v>
      </c>
    </row>
    <row r="4" spans="1:18" x14ac:dyDescent="0.25">
      <c r="A4" s="9">
        <v>2</v>
      </c>
      <c r="B4" s="11">
        <v>0</v>
      </c>
      <c r="J4" s="4">
        <f>($A11*'Single VFD'!$F108+'Single VFD'!$J109*'Selection Basics'!$A12)/('Selection Basics'!$A11+'Selection Basics'!$A12)</f>
        <v>0.23595454545454544</v>
      </c>
      <c r="K4" s="4">
        <f>($A11*'Single VFD'!$F94+'Single VFD'!$J95*'Selection Basics'!$A12)/('Selection Basics'!$A11+'Selection Basics'!$A12)</f>
        <v>0.45079999999999992</v>
      </c>
      <c r="L4" s="4">
        <f>($A11*'Single VFD'!$F79+'Single VFD'!$J80*'Selection Basics'!$A12)/('Selection Basics'!$A11+'Selection Basics'!$A12)</f>
        <v>0.58737272727272727</v>
      </c>
      <c r="M4" s="4">
        <f>($A11*'Single VFD'!$F64+'Single VFD'!$J65*'Selection Basics'!$A12)/('Selection Basics'!$A11+'Selection Basics'!$A12)</f>
        <v>0.68876363636363647</v>
      </c>
      <c r="N4" s="4">
        <f>($A11*'Single VFD'!$F49+'Single VFD'!$J50*'Selection Basics'!$A12)/('Selection Basics'!$A11+'Selection Basics'!$A12)</f>
        <v>0.81200000000000006</v>
      </c>
      <c r="O4" s="4">
        <f>($A11*'Single VFD'!$F35+'Single VFD'!$J36*'Selection Basics'!$A12)/('Selection Basics'!$A11+'Selection Basics'!$A12)</f>
        <v>0.87654545454545441</v>
      </c>
      <c r="P4" s="4">
        <f>($A11*'Single VFD'!$F21+'Single VFD'!$J22*'Selection Basics'!$A12)/('Selection Basics'!$A11+'Selection Basics'!$A12)</f>
        <v>0.97700909090909094</v>
      </c>
      <c r="Q4" s="4">
        <f>($A11*'Single VFD'!$F7+'Single VFD'!$J8*'Selection Basics'!$A12)/('Selection Basics'!$A11+'Selection Basics'!$A12)</f>
        <v>1.161881818181818</v>
      </c>
      <c r="R4" t="s">
        <v>43</v>
      </c>
    </row>
    <row r="5" spans="1:18" x14ac:dyDescent="0.25">
      <c r="A5" s="9">
        <v>3</v>
      </c>
      <c r="B5" s="11">
        <v>0</v>
      </c>
    </row>
    <row r="6" spans="1:18" x14ac:dyDescent="0.25">
      <c r="A6" s="9">
        <v>5</v>
      </c>
      <c r="B6" s="11">
        <v>0</v>
      </c>
      <c r="H6" t="s">
        <v>44</v>
      </c>
      <c r="I6">
        <f>(A18*B18+A26*B26)/(A18+A26)</f>
        <v>2.5669782608695653</v>
      </c>
      <c r="J6">
        <v>17.3</v>
      </c>
      <c r="K6">
        <v>25.39</v>
      </c>
      <c r="L6">
        <v>30.3</v>
      </c>
      <c r="M6">
        <v>33.56</v>
      </c>
      <c r="N6">
        <v>34.21</v>
      </c>
      <c r="O6">
        <v>35.6</v>
      </c>
      <c r="P6">
        <v>37.619999999999997</v>
      </c>
      <c r="Q6">
        <v>37.93</v>
      </c>
    </row>
    <row r="7" spans="1:18" x14ac:dyDescent="0.25">
      <c r="A7" s="9">
        <v>7.5</v>
      </c>
      <c r="B7" s="11">
        <v>0</v>
      </c>
      <c r="J7" s="4">
        <f>($A18*'Single VFD'!$R109+'Single VFD'!$Z112*$A26)/('Selection Basics'!$A18+'Selection Basics'!$A26)</f>
        <v>0.18082608695652175</v>
      </c>
      <c r="K7" s="4">
        <f>($A18*'Single VFD'!$R95+'Single VFD'!$Z98*$A26)/('Selection Basics'!$A18+'Selection Basics'!$A26)</f>
        <v>0.28112173913043481</v>
      </c>
      <c r="L7" s="4">
        <f>($A18*'Single VFD'!$R80+'Single VFD'!$Z83*$A26)/('Selection Basics'!$A18+'Selection Basics'!$A26)</f>
        <v>0.33629130434782606</v>
      </c>
      <c r="M7" s="4">
        <f>($A18*'Single VFD'!$R65+'Single VFD'!$Z68*$A26)/('Selection Basics'!$A18+'Selection Basics'!$A26)</f>
        <v>0.36178260869565221</v>
      </c>
      <c r="N7" s="4">
        <f>($A18*'Single VFD'!$R50+'Single VFD'!$Z53*$A26)/('Selection Basics'!$A18+'Selection Basics'!$A26)</f>
        <v>0.38024347826086952</v>
      </c>
      <c r="O7" s="4">
        <f>($A18*'Single VFD'!$R36+'Single VFD'!$Z39*$A26)/('Selection Basics'!$A18+'Selection Basics'!$A26)</f>
        <v>0.39692173913043471</v>
      </c>
      <c r="P7" s="4">
        <f>($A18*'Single VFD'!$R22+'Single VFD'!$Z25*$A26)/('Selection Basics'!$A18+'Selection Basics'!$A26)</f>
        <v>0.40590434782608692</v>
      </c>
      <c r="Q7" s="4">
        <f>($A18*'Single VFD'!$R8+'Single VFD'!$Z11*$A26)/('Selection Basics'!$A18+'Selection Basics'!$A26)</f>
        <v>0.41174347826086954</v>
      </c>
    </row>
    <row r="8" spans="1:18" x14ac:dyDescent="0.25">
      <c r="A8" s="9">
        <v>10</v>
      </c>
      <c r="B8" s="11">
        <v>0</v>
      </c>
    </row>
    <row r="9" spans="1:18" x14ac:dyDescent="0.25">
      <c r="A9" s="9">
        <v>15</v>
      </c>
      <c r="B9" s="11">
        <v>0</v>
      </c>
      <c r="H9" t="s">
        <v>45</v>
      </c>
      <c r="I9">
        <f>(2*A17*B17+A28*B28)/(1*A17+A28)</f>
        <v>2.8405307692307695</v>
      </c>
      <c r="J9">
        <v>17.59</v>
      </c>
      <c r="K9">
        <v>27.2</v>
      </c>
      <c r="L9">
        <v>32.76</v>
      </c>
      <c r="M9">
        <v>36.549999999999997</v>
      </c>
      <c r="N9">
        <v>37.4</v>
      </c>
      <c r="O9">
        <v>39.19</v>
      </c>
      <c r="P9">
        <v>40.130000000000003</v>
      </c>
      <c r="Q9">
        <v>40.78</v>
      </c>
    </row>
    <row r="10" spans="1:18" x14ac:dyDescent="0.25">
      <c r="A10" s="9">
        <v>20</v>
      </c>
      <c r="B10" s="11">
        <v>0</v>
      </c>
      <c r="J10" s="4">
        <f>($A17*2*'Single VFD'!$R109+'Selection Basics'!$A28*'Single VFD'!$Z112)/('Selection Basics'!$A17*2+'Selection Basics'!$A28)</f>
        <v>0.18339333333333335</v>
      </c>
      <c r="K10" s="4">
        <f>($A17*2*'Single VFD'!$R95+'Selection Basics'!$A28*'Single VFD'!$Z98)/('Selection Basics'!$A17*2+'Selection Basics'!$A28)</f>
        <v>0.28894666666666663</v>
      </c>
      <c r="L10" s="4">
        <f>($A17*2*'Single VFD'!$R80+'Selection Basics'!$A28*'Single VFD'!$Z83)/('Selection Basics'!$A17*2+'Selection Basics'!$A28)</f>
        <v>0.34692000000000001</v>
      </c>
      <c r="M10" s="4">
        <f>($A17*2*'Single VFD'!$R65+'Selection Basics'!$A28*'Single VFD'!$Z68)/('Selection Basics'!$A17*2+'Selection Basics'!$A28)</f>
        <v>0.37351999999999996</v>
      </c>
      <c r="N10" s="4">
        <f>($A17*2*'Single VFD'!$R50+'Selection Basics'!$A28*'Single VFD'!$Z53)/('Selection Basics'!$A17*2+'Selection Basics'!$A28)</f>
        <v>0.39328666666666662</v>
      </c>
      <c r="O10" s="4">
        <f>($A17*2*'Single VFD'!$R36+'Selection Basics'!$A28*'Single VFD'!$Z39)/('Selection Basics'!$A17*2+'Selection Basics'!$A28)</f>
        <v>0.41086666666666666</v>
      </c>
      <c r="P10" s="4">
        <f>($A17*2*'Single VFD'!$R22+'Selection Basics'!$A28*'Single VFD'!$Z25)/('Selection Basics'!$A17*2+'Selection Basics'!$A28)</f>
        <v>0.42036666666666661</v>
      </c>
      <c r="Q10" s="4">
        <f>($A17*2*'Single VFD'!$R8+'Selection Basics'!$A28*'Single VFD'!$Z11)/('Selection Basics'!$A17*2+'Selection Basics'!$A28)</f>
        <v>0.42659999999999998</v>
      </c>
    </row>
    <row r="11" spans="1:18" x14ac:dyDescent="0.25">
      <c r="A11" s="9">
        <v>25</v>
      </c>
      <c r="B11" s="11">
        <v>0.67689999999999995</v>
      </c>
    </row>
    <row r="12" spans="1:18" x14ac:dyDescent="0.25">
      <c r="A12" s="9">
        <v>30</v>
      </c>
      <c r="B12" s="11">
        <v>1.3496999999999999</v>
      </c>
    </row>
    <row r="13" spans="1:18" x14ac:dyDescent="0.25">
      <c r="A13" s="9">
        <v>40</v>
      </c>
      <c r="B13" s="11">
        <v>1.3582000000000001</v>
      </c>
    </row>
    <row r="14" spans="1:18" x14ac:dyDescent="0.25">
      <c r="A14" s="9">
        <v>50</v>
      </c>
      <c r="B14" s="11">
        <v>1.2048000000000001</v>
      </c>
    </row>
    <row r="15" spans="1:18" x14ac:dyDescent="0.25">
      <c r="A15" s="9">
        <v>60</v>
      </c>
      <c r="B15" s="11">
        <v>0.95550000000000002</v>
      </c>
    </row>
    <row r="16" spans="1:18" x14ac:dyDescent="0.25">
      <c r="A16" s="9">
        <v>75</v>
      </c>
      <c r="B16" s="11">
        <v>1.1838</v>
      </c>
    </row>
    <row r="17" spans="1:26" x14ac:dyDescent="0.25">
      <c r="A17" s="9">
        <v>100</v>
      </c>
      <c r="B17" s="11">
        <v>1.0557000000000001</v>
      </c>
    </row>
    <row r="18" spans="1:26" x14ac:dyDescent="0.25">
      <c r="A18" s="9">
        <v>125</v>
      </c>
      <c r="B18" s="11">
        <v>2.2825000000000002</v>
      </c>
    </row>
    <row r="19" spans="1:26" x14ac:dyDescent="0.25">
      <c r="A19" s="9">
        <v>150</v>
      </c>
      <c r="B19" s="11">
        <v>1.7206999999999999</v>
      </c>
    </row>
    <row r="20" spans="1:26" x14ac:dyDescent="0.25">
      <c r="A20" s="9">
        <v>175</v>
      </c>
      <c r="B20" s="11">
        <v>2.5836000000000001</v>
      </c>
    </row>
    <row r="21" spans="1:26" ht="50" x14ac:dyDescent="0.25">
      <c r="A21" s="9">
        <v>200</v>
      </c>
      <c r="B21" s="11">
        <v>2.9621</v>
      </c>
      <c r="N21" s="7" t="s">
        <v>149</v>
      </c>
      <c r="O21" s="7" t="s">
        <v>117</v>
      </c>
      <c r="P21" s="7" t="s">
        <v>148</v>
      </c>
      <c r="Q21" s="7"/>
      <c r="R21" s="7" t="s">
        <v>151</v>
      </c>
      <c r="S21" s="7"/>
      <c r="X21" s="7" t="s">
        <v>288</v>
      </c>
      <c r="Z21" s="18" t="s">
        <v>374</v>
      </c>
    </row>
    <row r="22" spans="1:26" x14ac:dyDescent="0.25">
      <c r="A22" s="9">
        <v>250</v>
      </c>
      <c r="B22" s="11">
        <v>2.7029999999999998</v>
      </c>
      <c r="I22" s="4">
        <v>1.15E-2</v>
      </c>
      <c r="N22">
        <f>'AccuSine Sizing Tool'!B26</f>
        <v>0</v>
      </c>
      <c r="O22" s="32">
        <f>IF('AccuSine Sizing Tool'!B26="",0,IF('AccuSine Sizing Tool'!D26="",0,IF('AccuSine Sizing Tool'!D26="HP",'AccuSine Sizing Tool'!C26,IF('AccuSine Sizing Tool'!D26="KW",'AccuSine Sizing Tool'!C26/0.746,IF('AccuSine Sizing Tool'!D26="KVA",'AccuSine Sizing Tool'!C26,0)))))</f>
        <v>0</v>
      </c>
      <c r="P22" s="5">
        <f>IF(N22=0,0,IF(O22=0,0,IF('AccuSine Sizing Tool'!G26=12,6,IF('AccuSine Sizing Tool'!G26=18,6,IF('AccuSine Sizing Tool'!$E26='work page'!$H$22,3,IF('AccuSine Sizing Tool'!$E26='work page'!$H$26,3,IF('AccuSine Sizing Tool'!$E26='work page'!$H$17,'Selection Basics'!$X22,0)))))))+IF('AccuSine Sizing Tool'!$E26='work page'!$H$17,0,'AccuSine Sizing Tool'!$H26*100)</f>
        <v>0</v>
      </c>
      <c r="R22">
        <f>N22*O22*P22/100</f>
        <v>0</v>
      </c>
      <c r="S22">
        <f t="shared" ref="S22:S31" si="0">P22*R22</f>
        <v>0</v>
      </c>
      <c r="U22">
        <f>N22*O22</f>
        <v>0</v>
      </c>
      <c r="X22">
        <f>IF('AccuSine Sizing Tool'!O38=0,0,IF('AccuSine Sizing Tool'!$G26=12,6,IF('AccuSine Sizing Tool'!$G26=18,6,IF('AccuSine Sizing Tool'!$E26='work page'!$H$17,IF('AccuSine Sizing Tool'!$H26="",VLOOKUP($O22,'Selection Basics'!$A$3:$B$31,2),'AccuSine Sizing Tool'!$H26*100)))))</f>
        <v>0</v>
      </c>
      <c r="Z22" t="str">
        <f>IF(N22=0,"",IF('AccuSine Sizing Tool'!J26="",0.99-(0.0067*X22),'AccuSine Sizing Tool'!J26))</f>
        <v/>
      </c>
    </row>
    <row r="23" spans="1:26" x14ac:dyDescent="0.25">
      <c r="A23" s="9">
        <v>300</v>
      </c>
      <c r="B23" s="11">
        <v>3.2635000000000001</v>
      </c>
      <c r="I23">
        <v>250</v>
      </c>
      <c r="N23">
        <f>'AccuSine Sizing Tool'!B27</f>
        <v>0</v>
      </c>
      <c r="O23" s="32">
        <f>IF('AccuSine Sizing Tool'!B27="",0,IF('AccuSine Sizing Tool'!D27="",0,IF('AccuSine Sizing Tool'!D27="HP",'AccuSine Sizing Tool'!C27,IF('AccuSine Sizing Tool'!D27="KW",'AccuSine Sizing Tool'!C27/0.746,IF('AccuSine Sizing Tool'!D27="KVA",'AccuSine Sizing Tool'!C27,0)))))</f>
        <v>0</v>
      </c>
      <c r="P23" s="5">
        <f>IF(N23=0,0,IF(O23=0,0,IF('AccuSine Sizing Tool'!G27=12,6,IF('AccuSine Sizing Tool'!G27=18,6,IF('AccuSine Sizing Tool'!$E27='work page'!$H$22,3,IF('AccuSine Sizing Tool'!$E27='work page'!$H$26,3,IF('AccuSine Sizing Tool'!$E27='work page'!$H$17,'Selection Basics'!$X23,0)))))))+IF('AccuSine Sizing Tool'!$E27='work page'!$H$17,0,'AccuSine Sizing Tool'!$H27*100)</f>
        <v>0</v>
      </c>
      <c r="R23">
        <f t="shared" ref="R23:R31" si="1">N23*O23*P23/100</f>
        <v>0</v>
      </c>
      <c r="S23">
        <f t="shared" si="0"/>
        <v>0</v>
      </c>
      <c r="U23">
        <f t="shared" ref="U23:U31" si="2">N23*O23</f>
        <v>0</v>
      </c>
      <c r="X23">
        <f>IF('AccuSine Sizing Tool'!O39=0,0,IF('AccuSine Sizing Tool'!$G27=12,6,IF('AccuSine Sizing Tool'!$G27=18,6,IF('AccuSine Sizing Tool'!$E27='work page'!$H$17,IF('AccuSine Sizing Tool'!$H27="",VLOOKUP($O23,'Selection Basics'!$A$3:$B$31,2),'AccuSine Sizing Tool'!$H27*100)))))</f>
        <v>0</v>
      </c>
      <c r="Z23" t="str">
        <f>IF(N23=0,"",IF('AccuSine Sizing Tool'!J27="",0.99-(0.0067*X23),'AccuSine Sizing Tool'!J27))</f>
        <v/>
      </c>
    </row>
    <row r="24" spans="1:26" x14ac:dyDescent="0.25">
      <c r="A24" s="9">
        <v>350</v>
      </c>
      <c r="B24" s="11">
        <v>3.1549</v>
      </c>
      <c r="I24" s="4">
        <f>INDEX(A36:I45, MATCH(I22,A36:A45), MATCH(I23,A36:I36))</f>
        <v>0.5769333333333333</v>
      </c>
      <c r="N24">
        <f>'AccuSine Sizing Tool'!B28</f>
        <v>0</v>
      </c>
      <c r="O24" s="32">
        <f>IF('AccuSine Sizing Tool'!B28="",0,IF('AccuSine Sizing Tool'!D28="",0,IF('AccuSine Sizing Tool'!D28="HP",'AccuSine Sizing Tool'!C28,IF('AccuSine Sizing Tool'!D28="KW",'AccuSine Sizing Tool'!C28/0.746,IF('AccuSine Sizing Tool'!D28="KVA",'AccuSine Sizing Tool'!C28,0)))))</f>
        <v>0</v>
      </c>
      <c r="P24" s="5">
        <f>IF(N24=0,0,IF(O24=0,0,IF('AccuSine Sizing Tool'!G28=12,6,IF('AccuSine Sizing Tool'!G28=18,6,IF('AccuSine Sizing Tool'!$E28='work page'!$H$22,3,IF('AccuSine Sizing Tool'!$E28='work page'!$H$26,3,IF('AccuSine Sizing Tool'!$E28='work page'!$H$17,'Selection Basics'!$X24,0)))))))+IF('AccuSine Sizing Tool'!$E28='work page'!$H$17,0,'AccuSine Sizing Tool'!$H28*100)</f>
        <v>0</v>
      </c>
      <c r="R24">
        <f t="shared" si="1"/>
        <v>0</v>
      </c>
      <c r="S24">
        <f t="shared" si="0"/>
        <v>0</v>
      </c>
      <c r="U24">
        <f t="shared" si="2"/>
        <v>0</v>
      </c>
      <c r="X24">
        <f>IF('AccuSine Sizing Tool'!O40=0,0,IF('AccuSine Sizing Tool'!$G28=12,6,IF('AccuSine Sizing Tool'!$G28=18,6,IF('AccuSine Sizing Tool'!$E28='work page'!$H$17,IF('AccuSine Sizing Tool'!$H28="",VLOOKUP($O24,'Selection Basics'!$A$3:$B$31,2),'AccuSine Sizing Tool'!$H28*100)))))</f>
        <v>0</v>
      </c>
      <c r="Z24" t="str">
        <f>IF(N24=0,"",IF('AccuSine Sizing Tool'!J28="",0.99-(0.0067*X24),'AccuSine Sizing Tool'!J28))</f>
        <v/>
      </c>
    </row>
    <row r="25" spans="1:26" x14ac:dyDescent="0.25">
      <c r="A25" s="9">
        <v>400</v>
      </c>
      <c r="B25" s="11">
        <v>2.9388999999999998</v>
      </c>
      <c r="N25">
        <f>'AccuSine Sizing Tool'!B29</f>
        <v>0</v>
      </c>
      <c r="O25" s="32">
        <f>IF('AccuSine Sizing Tool'!B29="",0,IF('AccuSine Sizing Tool'!D29="",0,IF('AccuSine Sizing Tool'!D29="HP",'AccuSine Sizing Tool'!C29,IF('AccuSine Sizing Tool'!D29="KW",'AccuSine Sizing Tool'!C29/0.746,IF('AccuSine Sizing Tool'!D29="KVA",'AccuSine Sizing Tool'!C29,0)))))</f>
        <v>0</v>
      </c>
      <c r="P25" s="5">
        <f>IF(N25=0,0,IF(O25=0,0,IF('AccuSine Sizing Tool'!G29=12,6,IF('AccuSine Sizing Tool'!G29=18,6,IF('AccuSine Sizing Tool'!$E29='work page'!$H$22,3,IF('AccuSine Sizing Tool'!$E29='work page'!$H$26,3,IF('AccuSine Sizing Tool'!$E29='work page'!$H$17,'Selection Basics'!$X25,0)))))))+IF('AccuSine Sizing Tool'!$E29='work page'!$H$17,0,'AccuSine Sizing Tool'!$H29*100)</f>
        <v>0</v>
      </c>
      <c r="R25">
        <f t="shared" si="1"/>
        <v>0</v>
      </c>
      <c r="S25">
        <f t="shared" si="0"/>
        <v>0</v>
      </c>
      <c r="U25">
        <f t="shared" si="2"/>
        <v>0</v>
      </c>
      <c r="X25">
        <f>IF('AccuSine Sizing Tool'!O41=0,0,IF('AccuSine Sizing Tool'!$G29=12,6,IF('AccuSine Sizing Tool'!$G29=18,6,IF('AccuSine Sizing Tool'!$E29='work page'!$H$17,IF('AccuSine Sizing Tool'!$H29="",VLOOKUP($O25,'Selection Basics'!$A$3:$B$31,2),'AccuSine Sizing Tool'!$H29*100)))))</f>
        <v>0</v>
      </c>
      <c r="Z25" t="str">
        <f>IF(N25=0,"",IF('AccuSine Sizing Tool'!J29="",0.99-(0.0067*X25),'AccuSine Sizing Tool'!J29))</f>
        <v/>
      </c>
    </row>
    <row r="26" spans="1:26" x14ac:dyDescent="0.25">
      <c r="A26" s="9">
        <v>450</v>
      </c>
      <c r="B26" s="11">
        <v>2.6459999999999999</v>
      </c>
      <c r="N26">
        <f>'AccuSine Sizing Tool'!B30</f>
        <v>0</v>
      </c>
      <c r="O26" s="32">
        <f>IF('AccuSine Sizing Tool'!B30="",0,IF('AccuSine Sizing Tool'!D30="",0,IF('AccuSine Sizing Tool'!D30="HP",'AccuSine Sizing Tool'!C30,IF('AccuSine Sizing Tool'!D30="KW",'AccuSine Sizing Tool'!C30/0.746,IF('AccuSine Sizing Tool'!D30="KVA",'AccuSine Sizing Tool'!C30,0)))))</f>
        <v>0</v>
      </c>
      <c r="P26" s="5">
        <f>IF(N26=0,0,IF(O26=0,0,IF('AccuSine Sizing Tool'!G30=12,6,IF('AccuSine Sizing Tool'!G30=18,6,IF('AccuSine Sizing Tool'!$E30='work page'!$H$22,3,IF('AccuSine Sizing Tool'!$E30='work page'!$H$26,3,IF('AccuSine Sizing Tool'!$E30='work page'!$H$17,'Selection Basics'!$X26,0)))))))+IF('AccuSine Sizing Tool'!$E30='work page'!$H$17,0,'AccuSine Sizing Tool'!$H30*100)</f>
        <v>0</v>
      </c>
      <c r="R26">
        <f t="shared" si="1"/>
        <v>0</v>
      </c>
      <c r="S26">
        <f t="shared" si="0"/>
        <v>0</v>
      </c>
      <c r="U26">
        <f t="shared" si="2"/>
        <v>0</v>
      </c>
      <c r="X26">
        <f>IF('AccuSine Sizing Tool'!O42=0,0,IF('AccuSine Sizing Tool'!$G30=12,6,IF('AccuSine Sizing Tool'!$G30=18,6,IF('AccuSine Sizing Tool'!$E30='work page'!$H$17,IF('AccuSine Sizing Tool'!$H30="",VLOOKUP($O26,'Selection Basics'!$A$3:$B$31,2),'AccuSine Sizing Tool'!$H30*100)))))</f>
        <v>0</v>
      </c>
      <c r="Z26" t="str">
        <f>IF(N26=0,"",IF('AccuSine Sizing Tool'!J30="",0.99-(0.0067*X26),'AccuSine Sizing Tool'!J30))</f>
        <v/>
      </c>
    </row>
    <row r="27" spans="1:26" x14ac:dyDescent="0.25">
      <c r="A27" s="9">
        <v>500</v>
      </c>
      <c r="B27" s="11">
        <v>3.2378</v>
      </c>
      <c r="N27">
        <f>'AccuSine Sizing Tool'!B31</f>
        <v>0</v>
      </c>
      <c r="O27" s="32">
        <f>IF('AccuSine Sizing Tool'!B31="",0,IF('AccuSine Sizing Tool'!D31="",0,IF('AccuSine Sizing Tool'!D31="HP",'AccuSine Sizing Tool'!C31,IF('AccuSine Sizing Tool'!D31="KW",'AccuSine Sizing Tool'!C31/0.746,IF('AccuSine Sizing Tool'!D31="KVA",'AccuSine Sizing Tool'!C31,0)))))</f>
        <v>0</v>
      </c>
      <c r="P27" s="5">
        <f>IF(N27=0,0,IF(O27=0,0,IF('AccuSine Sizing Tool'!G31=12,6,IF('AccuSine Sizing Tool'!G31=18,6,IF('AccuSine Sizing Tool'!$E31='work page'!$H$22,3,IF('AccuSine Sizing Tool'!$E31='work page'!$H$26,3,IF('AccuSine Sizing Tool'!$E31='work page'!$H$17,'Selection Basics'!$X27,0)))))))+IF('AccuSine Sizing Tool'!$E31='work page'!$H$17,0,'AccuSine Sizing Tool'!$H31*100)</f>
        <v>0</v>
      </c>
      <c r="R27">
        <f t="shared" si="1"/>
        <v>0</v>
      </c>
      <c r="S27">
        <f t="shared" si="0"/>
        <v>0</v>
      </c>
      <c r="U27">
        <f t="shared" si="2"/>
        <v>0</v>
      </c>
      <c r="X27">
        <f>IF('AccuSine Sizing Tool'!O43=0,0,IF('AccuSine Sizing Tool'!$G31=12,6,IF('AccuSine Sizing Tool'!$G31=18,6,IF('AccuSine Sizing Tool'!$E31='work page'!$H$17,IF('AccuSine Sizing Tool'!$H31="",VLOOKUP($O27,'Selection Basics'!$A$3:$B$31,2),'AccuSine Sizing Tool'!$H31*100)))))</f>
        <v>0</v>
      </c>
      <c r="Z27" t="str">
        <f>IF(N27=0,"",IF('AccuSine Sizing Tool'!J31="",0.99-(0.0067*X27),'AccuSine Sizing Tool'!J31))</f>
        <v/>
      </c>
    </row>
    <row r="28" spans="1:26" x14ac:dyDescent="0.25">
      <c r="A28" s="9">
        <v>550</v>
      </c>
      <c r="B28" s="11">
        <v>2.9731000000000001</v>
      </c>
      <c r="N28">
        <f>'AccuSine Sizing Tool'!B32</f>
        <v>0</v>
      </c>
      <c r="O28" s="32">
        <f>IF('AccuSine Sizing Tool'!B32="",0,IF('AccuSine Sizing Tool'!D32="",0,IF('AccuSine Sizing Tool'!D32="HP",'AccuSine Sizing Tool'!C32,IF('AccuSine Sizing Tool'!D32="KW",'AccuSine Sizing Tool'!C32/0.746,IF('AccuSine Sizing Tool'!D32="KVA",'AccuSine Sizing Tool'!C32,0)))))</f>
        <v>0</v>
      </c>
      <c r="P28" s="5">
        <f>IF(N28=0,0,IF(O28=0,0,IF('AccuSine Sizing Tool'!G32=12,6,IF('AccuSine Sizing Tool'!G32=18,6,IF('AccuSine Sizing Tool'!$E32='work page'!$H$22,3,IF('AccuSine Sizing Tool'!$E32='work page'!$H$26,3,IF('AccuSine Sizing Tool'!$E32='work page'!$H$17,'Selection Basics'!$X28,0)))))))+IF('AccuSine Sizing Tool'!$E32='work page'!$H$17,0,'AccuSine Sizing Tool'!$H32*100)</f>
        <v>0</v>
      </c>
      <c r="R28">
        <f t="shared" si="1"/>
        <v>0</v>
      </c>
      <c r="S28">
        <f t="shared" si="0"/>
        <v>0</v>
      </c>
      <c r="U28">
        <f t="shared" si="2"/>
        <v>0</v>
      </c>
      <c r="X28">
        <f>IF('AccuSine Sizing Tool'!O44=0,0,IF('AccuSine Sizing Tool'!$G32=12,6,IF('AccuSine Sizing Tool'!$G32=18,6,IF('AccuSine Sizing Tool'!$E32='work page'!$H$17,IF('AccuSine Sizing Tool'!$H32="",VLOOKUP($O28,'Selection Basics'!$A$3:$B$31,2),'AccuSine Sizing Tool'!$H32*100)))))</f>
        <v>0</v>
      </c>
      <c r="Z28" t="str">
        <f>IF(N28=0,"",IF('AccuSine Sizing Tool'!J32="",0.99-(0.0067*X28),'AccuSine Sizing Tool'!J32))</f>
        <v/>
      </c>
    </row>
    <row r="29" spans="1:26" x14ac:dyDescent="0.25">
      <c r="A29" s="9">
        <v>600</v>
      </c>
      <c r="B29" s="11">
        <v>3.3277999999999999</v>
      </c>
      <c r="N29">
        <f>'AccuSine Sizing Tool'!B33</f>
        <v>0</v>
      </c>
      <c r="O29" s="32">
        <f>IF('AccuSine Sizing Tool'!B33="",0,IF('AccuSine Sizing Tool'!D33="",0,IF('AccuSine Sizing Tool'!D33="HP",'AccuSine Sizing Tool'!C33,IF('AccuSine Sizing Tool'!D33="KW",'AccuSine Sizing Tool'!C33/0.746,IF('AccuSine Sizing Tool'!D33="KVA",'AccuSine Sizing Tool'!C33,0)))))</f>
        <v>0</v>
      </c>
      <c r="P29" s="5">
        <f>IF(N29=0,0,IF(O29=0,0,IF('AccuSine Sizing Tool'!G33=12,6,IF('AccuSine Sizing Tool'!G33=18,6,IF('AccuSine Sizing Tool'!$E33='work page'!$H$22,3,IF('AccuSine Sizing Tool'!$E33='work page'!$H$26,3,IF('AccuSine Sizing Tool'!$E33='work page'!$H$17,'Selection Basics'!$X29,0)))))))+IF('AccuSine Sizing Tool'!$E33='work page'!$H$17,0,'AccuSine Sizing Tool'!$H33*100)</f>
        <v>0</v>
      </c>
      <c r="R29">
        <f t="shared" si="1"/>
        <v>0</v>
      </c>
      <c r="S29">
        <f t="shared" si="0"/>
        <v>0</v>
      </c>
      <c r="U29">
        <f t="shared" si="2"/>
        <v>0</v>
      </c>
      <c r="X29">
        <f>IF('AccuSine Sizing Tool'!O45=0,0,IF('AccuSine Sizing Tool'!$G33=12,6,IF('AccuSine Sizing Tool'!$G33=18,6,IF('AccuSine Sizing Tool'!$E33='work page'!$H$17,IF('AccuSine Sizing Tool'!$H33="",VLOOKUP($O29,'Selection Basics'!$A$3:$B$31,2),'AccuSine Sizing Tool'!$H33*100)))))</f>
        <v>0</v>
      </c>
      <c r="Z29" t="str">
        <f>IF(N29=0,"",IF('AccuSine Sizing Tool'!J33="",0.99-(0.0067*X29),'AccuSine Sizing Tool'!J33))</f>
        <v/>
      </c>
    </row>
    <row r="30" spans="1:26" x14ac:dyDescent="0.25">
      <c r="A30" s="9">
        <v>700</v>
      </c>
      <c r="B30" s="11">
        <v>2.2400000000000002</v>
      </c>
      <c r="N30">
        <f>'AccuSine Sizing Tool'!B34</f>
        <v>0</v>
      </c>
      <c r="O30" s="32">
        <f>IF('AccuSine Sizing Tool'!B34="",0,IF('AccuSine Sizing Tool'!D34="",0,IF('AccuSine Sizing Tool'!D34="HP",'AccuSine Sizing Tool'!C34,IF('AccuSine Sizing Tool'!D34="KW",'AccuSine Sizing Tool'!C34/0.746,IF('AccuSine Sizing Tool'!D34="KVA",'AccuSine Sizing Tool'!C34,0)))))</f>
        <v>0</v>
      </c>
      <c r="P30" s="5">
        <f>IF(N30=0,0,IF(O30=0,0,IF('AccuSine Sizing Tool'!G34=12,6,IF('AccuSine Sizing Tool'!G34=18,6,IF('AccuSine Sizing Tool'!$E34='work page'!$H$22,3,IF('AccuSine Sizing Tool'!$E34='work page'!$H$26,3,IF('AccuSine Sizing Tool'!$E34='work page'!$H$17,'Selection Basics'!$X30,0)))))))+IF('AccuSine Sizing Tool'!$E34='work page'!$H$17,0,'AccuSine Sizing Tool'!$H34*100)</f>
        <v>0</v>
      </c>
      <c r="R30">
        <f t="shared" si="1"/>
        <v>0</v>
      </c>
      <c r="S30">
        <f t="shared" si="0"/>
        <v>0</v>
      </c>
      <c r="U30">
        <f t="shared" si="2"/>
        <v>0</v>
      </c>
      <c r="X30">
        <f>IF('AccuSine Sizing Tool'!O46=0,0,IF('AccuSine Sizing Tool'!$G34=12,6,IF('AccuSine Sizing Tool'!$G34=18,6,IF('AccuSine Sizing Tool'!$E34='work page'!$H$17,IF('AccuSine Sizing Tool'!$H34="",VLOOKUP($O30,'Selection Basics'!$A$3:$B$31,2),'AccuSine Sizing Tool'!$H34*100)))))</f>
        <v>0</v>
      </c>
      <c r="Z30" t="str">
        <f>IF(N30=0,"",IF('AccuSine Sizing Tool'!J34="",0.99-(0.0067*X30),'AccuSine Sizing Tool'!J34))</f>
        <v/>
      </c>
    </row>
    <row r="31" spans="1:26" x14ac:dyDescent="0.25">
      <c r="A31" s="9">
        <v>900</v>
      </c>
      <c r="B31" s="11">
        <v>2.6461000000000001</v>
      </c>
      <c r="N31">
        <f>'AccuSine Sizing Tool'!B35</f>
        <v>0</v>
      </c>
      <c r="O31" s="32">
        <f>IF('AccuSine Sizing Tool'!B35="",0,IF('AccuSine Sizing Tool'!D35="",0,IF('AccuSine Sizing Tool'!D35="HP",'AccuSine Sizing Tool'!C35,IF('AccuSine Sizing Tool'!D35="KW",'AccuSine Sizing Tool'!C35/0.746,IF('AccuSine Sizing Tool'!D35="KVA",'AccuSine Sizing Tool'!C35,0)))))</f>
        <v>0</v>
      </c>
      <c r="P31" s="5">
        <f>IF(N31=0,0,IF(O31=0,0,IF('AccuSine Sizing Tool'!G35=12,6,IF('AccuSine Sizing Tool'!G35=18,6,IF('AccuSine Sizing Tool'!$E35='work page'!$H$22,3,IF('AccuSine Sizing Tool'!$E35='work page'!$H$26,3,IF('AccuSine Sizing Tool'!$E35='work page'!$H$17,'Selection Basics'!$X31,0)))))))+IF('AccuSine Sizing Tool'!$E35='work page'!$H$17,0,'AccuSine Sizing Tool'!$H35*100)</f>
        <v>0</v>
      </c>
      <c r="R31">
        <f t="shared" si="1"/>
        <v>0</v>
      </c>
      <c r="S31">
        <f t="shared" si="0"/>
        <v>0</v>
      </c>
      <c r="U31">
        <f t="shared" si="2"/>
        <v>0</v>
      </c>
      <c r="X31">
        <f>IF('AccuSine Sizing Tool'!O47=0,0,IF('AccuSine Sizing Tool'!$G35=12,6,IF('AccuSine Sizing Tool'!$G35=18,6,IF('AccuSine Sizing Tool'!$E35='work page'!$H$17,IF('AccuSine Sizing Tool'!$H35="",VLOOKUP($O31,'Selection Basics'!$A$3:$B$31,2),'AccuSine Sizing Tool'!$H35*100)))))</f>
        <v>0</v>
      </c>
      <c r="Z31" t="str">
        <f>IF(N31=0,"",IF('AccuSine Sizing Tool'!J35="",0.99-(0.0067*X31),'AccuSine Sizing Tool'!J35))</f>
        <v/>
      </c>
    </row>
    <row r="32" spans="1:26" x14ac:dyDescent="0.25">
      <c r="A32" s="9"/>
      <c r="O32" s="2" t="s">
        <v>150</v>
      </c>
      <c r="P32" s="5">
        <f>IF(R32=0,0,R32/U32*100)</f>
        <v>0</v>
      </c>
      <c r="R32">
        <f>SUM(R22:R31)</f>
        <v>0</v>
      </c>
      <c r="S32" s="93">
        <f>SUM(S22:S31)</f>
        <v>0</v>
      </c>
      <c r="U32">
        <f>SUM(U22:U31)</f>
        <v>0</v>
      </c>
    </row>
    <row r="33" spans="1:32" x14ac:dyDescent="0.25">
      <c r="O33" s="2" t="s">
        <v>167</v>
      </c>
      <c r="P33" s="27">
        <f>O43</f>
        <v>3</v>
      </c>
    </row>
    <row r="34" spans="1:32" x14ac:dyDescent="0.25">
      <c r="A34" t="s">
        <v>86</v>
      </c>
    </row>
    <row r="35" spans="1:32" ht="13" x14ac:dyDescent="0.3">
      <c r="B35" s="660" t="s">
        <v>47</v>
      </c>
      <c r="C35" s="660"/>
      <c r="D35" s="660"/>
      <c r="E35" s="660"/>
      <c r="F35" s="660"/>
      <c r="G35" s="660"/>
      <c r="H35" s="660"/>
      <c r="I35" s="660"/>
      <c r="K35" s="21"/>
      <c r="L35" t="s">
        <v>46</v>
      </c>
      <c r="O35" s="21"/>
      <c r="Q35" s="21"/>
      <c r="R35" s="21"/>
      <c r="S35" s="21"/>
      <c r="T35" s="21"/>
      <c r="U35" s="21"/>
      <c r="V35" s="21"/>
      <c r="W35" s="21"/>
      <c r="X35" s="21"/>
      <c r="Y35" s="21"/>
      <c r="Z35" s="21"/>
      <c r="AA35" s="21"/>
      <c r="AB35" s="21"/>
      <c r="AC35" s="21"/>
      <c r="AD35" s="21"/>
      <c r="AE35" s="21"/>
      <c r="AF35" s="21"/>
    </row>
    <row r="36" spans="1:32" ht="13" x14ac:dyDescent="0.3">
      <c r="A36" s="13" t="s">
        <v>17</v>
      </c>
      <c r="B36" s="17">
        <v>20</v>
      </c>
      <c r="C36" s="15">
        <v>50</v>
      </c>
      <c r="D36" s="15">
        <v>100</v>
      </c>
      <c r="E36" s="15">
        <v>150</v>
      </c>
      <c r="F36" s="15">
        <v>250</v>
      </c>
      <c r="G36" s="15">
        <v>500</v>
      </c>
      <c r="H36" s="15">
        <v>1000</v>
      </c>
      <c r="I36" s="15">
        <v>2500</v>
      </c>
      <c r="K36" s="28"/>
      <c r="L36" t="s">
        <v>78</v>
      </c>
      <c r="M36" t="s">
        <v>77</v>
      </c>
      <c r="O36" s="29"/>
      <c r="P36" s="93">
        <f>IF('AccuSine Sizing Tool'!E26="DC drive",5,IF('AccuSine Sizing Tool'!E26="VSI VFD",5,IF('AccuSine Sizing Tool'!E26="DC power supply - Inductive",5,IF('AccuSine Sizing Tool'!E26="UPS w/Diode rectifier",5,IF('AccuSine Sizing Tool'!E26="UPS SCR",5,IF('AccuSine Sizing Tool'!E26="SCR Power Supply - Inductive load",5,0))))))</f>
        <v>0</v>
      </c>
      <c r="Q36" s="28"/>
      <c r="R36" s="29"/>
      <c r="S36" s="21"/>
      <c r="T36" s="28"/>
      <c r="U36" s="29"/>
      <c r="V36" s="98"/>
      <c r="W36" s="97">
        <v>0</v>
      </c>
      <c r="X36" s="29"/>
      <c r="Y36" s="21"/>
      <c r="Z36" s="28"/>
      <c r="AA36" s="29"/>
      <c r="AB36" s="21"/>
      <c r="AC36" s="28"/>
      <c r="AD36" s="29"/>
      <c r="AE36" s="21"/>
      <c r="AF36" s="30"/>
    </row>
    <row r="37" spans="1:32" x14ac:dyDescent="0.25">
      <c r="A37" s="16">
        <v>0</v>
      </c>
      <c r="B37" s="16">
        <v>0.26439999999999997</v>
      </c>
      <c r="C37" s="16">
        <v>0.56305000000000005</v>
      </c>
      <c r="D37" s="16">
        <v>0.75364999999999993</v>
      </c>
      <c r="E37" s="16">
        <v>0.91900000000000004</v>
      </c>
      <c r="F37" s="16">
        <v>1.1358999999999999</v>
      </c>
      <c r="G37" s="16">
        <v>1.2319</v>
      </c>
      <c r="H37" s="16">
        <v>1.3910499999999999</v>
      </c>
      <c r="I37" s="16">
        <v>1.84755</v>
      </c>
      <c r="K37" s="31"/>
      <c r="L37" s="5">
        <v>0</v>
      </c>
      <c r="M37">
        <v>3</v>
      </c>
      <c r="N37" t="s">
        <v>98</v>
      </c>
      <c r="O37" s="31"/>
      <c r="Q37" s="31"/>
      <c r="R37" s="31"/>
      <c r="S37" s="96">
        <v>3</v>
      </c>
      <c r="T37" s="97">
        <v>0</v>
      </c>
      <c r="U37" s="31"/>
      <c r="V37" s="96">
        <v>3</v>
      </c>
      <c r="W37" s="97">
        <v>1.5</v>
      </c>
      <c r="X37" s="31"/>
      <c r="Y37" s="21"/>
      <c r="Z37" s="31"/>
      <c r="AA37" s="31"/>
      <c r="AB37" s="21"/>
      <c r="AC37" s="31"/>
      <c r="AD37" s="31"/>
      <c r="AE37" s="21"/>
      <c r="AF37" s="14"/>
    </row>
    <row r="38" spans="1:32" x14ac:dyDescent="0.25">
      <c r="A38" s="16">
        <v>1.15E-2</v>
      </c>
      <c r="B38" s="16">
        <v>0.21833333333333335</v>
      </c>
      <c r="C38" s="16">
        <v>0.38800000000000007</v>
      </c>
      <c r="D38" s="16">
        <v>0.48816666666666669</v>
      </c>
      <c r="E38" s="16">
        <v>0.5423</v>
      </c>
      <c r="F38" s="16">
        <v>0.5769333333333333</v>
      </c>
      <c r="G38" s="16">
        <v>0.60623333333333329</v>
      </c>
      <c r="H38" s="16">
        <v>0.62353333333333338</v>
      </c>
      <c r="I38" s="16">
        <v>0.63719999999999999</v>
      </c>
      <c r="K38" s="31"/>
      <c r="L38" s="5">
        <v>1.5</v>
      </c>
      <c r="M38">
        <v>1.6</v>
      </c>
      <c r="N38" t="s">
        <v>99</v>
      </c>
      <c r="O38" s="31"/>
      <c r="Q38" s="31"/>
      <c r="R38" s="31"/>
      <c r="S38" s="96">
        <v>1.6</v>
      </c>
      <c r="T38" s="97">
        <v>1.5</v>
      </c>
      <c r="U38" s="31"/>
      <c r="V38" s="96">
        <v>1.6</v>
      </c>
      <c r="W38" s="97">
        <v>3</v>
      </c>
      <c r="X38" s="31"/>
      <c r="Y38" s="21"/>
      <c r="Z38" s="31"/>
      <c r="AA38" s="31"/>
      <c r="AB38" s="21"/>
      <c r="AC38" s="31"/>
      <c r="AD38" s="31"/>
      <c r="AE38" s="21"/>
      <c r="AF38" s="14"/>
    </row>
    <row r="39" spans="1:32" x14ac:dyDescent="0.25">
      <c r="A39" s="16">
        <v>1.4999999999999999E-2</v>
      </c>
      <c r="B39" s="16">
        <v>0.20494999999999999</v>
      </c>
      <c r="C39" s="16">
        <v>0.35314999999999996</v>
      </c>
      <c r="D39" s="16">
        <v>0.42235</v>
      </c>
      <c r="E39" s="16">
        <v>0.46355000000000002</v>
      </c>
      <c r="F39" s="16">
        <v>0.49370000000000003</v>
      </c>
      <c r="G39" s="16">
        <v>0.50109999999999999</v>
      </c>
      <c r="H39" s="16">
        <v>0.50875000000000004</v>
      </c>
      <c r="I39" s="16">
        <v>0.51729999999999998</v>
      </c>
      <c r="K39" s="31"/>
      <c r="L39" s="5">
        <v>3</v>
      </c>
      <c r="M39">
        <v>1.2</v>
      </c>
      <c r="O39" s="31"/>
      <c r="Q39" s="31"/>
      <c r="R39" s="31"/>
      <c r="S39" s="96">
        <v>1.2</v>
      </c>
      <c r="T39" s="97">
        <v>3</v>
      </c>
      <c r="U39" s="31"/>
      <c r="V39" s="96">
        <v>1.2</v>
      </c>
      <c r="W39" s="97">
        <v>5</v>
      </c>
      <c r="X39" s="31"/>
      <c r="Y39" s="21"/>
      <c r="Z39" s="31"/>
      <c r="AA39" s="31"/>
      <c r="AB39" s="21"/>
      <c r="AC39" s="31"/>
      <c r="AD39" s="31"/>
      <c r="AE39" s="21"/>
      <c r="AF39" s="21"/>
    </row>
    <row r="40" spans="1:32" x14ac:dyDescent="0.25">
      <c r="A40" s="16">
        <v>2.5000000000000001E-2</v>
      </c>
      <c r="B40" s="16">
        <v>0.17821999999999999</v>
      </c>
      <c r="C40" s="16">
        <v>0.27854000000000001</v>
      </c>
      <c r="D40" s="16">
        <v>0.32932</v>
      </c>
      <c r="E40" s="16">
        <v>0.35440000000000005</v>
      </c>
      <c r="F40" s="16">
        <v>0.37078</v>
      </c>
      <c r="G40" s="16">
        <v>0.38445999999999997</v>
      </c>
      <c r="H40" s="16">
        <v>0.39239999999999997</v>
      </c>
      <c r="I40" s="16">
        <v>0.39360000000000006</v>
      </c>
      <c r="K40" s="31"/>
      <c r="L40" s="5">
        <v>5</v>
      </c>
      <c r="M40">
        <v>1.1000000000000001</v>
      </c>
      <c r="O40" s="31"/>
      <c r="Q40" s="31"/>
      <c r="R40" s="31"/>
      <c r="S40" s="96">
        <v>1.1000000000000001</v>
      </c>
      <c r="T40" s="97">
        <v>5</v>
      </c>
      <c r="U40" s="31"/>
      <c r="V40" s="96">
        <v>1.1000000000000001</v>
      </c>
      <c r="W40" s="97">
        <v>7.5</v>
      </c>
      <c r="X40" s="31"/>
      <c r="Y40" s="21"/>
      <c r="Z40" s="31"/>
      <c r="AA40" s="31"/>
      <c r="AB40" s="21"/>
      <c r="AC40" s="31"/>
      <c r="AD40" s="31"/>
      <c r="AE40" s="21"/>
      <c r="AF40" s="21"/>
    </row>
    <row r="41" spans="1:32" x14ac:dyDescent="0.25">
      <c r="A41" s="16">
        <v>0.03</v>
      </c>
      <c r="B41" s="16">
        <v>0.16816666666666669</v>
      </c>
      <c r="C41" s="16">
        <v>0.2537666666666667</v>
      </c>
      <c r="D41" s="16">
        <v>0.29176666666666667</v>
      </c>
      <c r="E41" s="16">
        <v>0.3116666666666667</v>
      </c>
      <c r="F41" s="16">
        <v>0.33163333333333328</v>
      </c>
      <c r="G41" s="16">
        <v>0.33136666666666664</v>
      </c>
      <c r="H41" s="16">
        <v>0.3358666666666667</v>
      </c>
      <c r="I41" s="16">
        <v>0.33970000000000006</v>
      </c>
      <c r="K41" s="31"/>
      <c r="L41" s="5">
        <v>7.5</v>
      </c>
      <c r="M41">
        <v>1</v>
      </c>
      <c r="O41" s="31"/>
      <c r="Q41" s="31"/>
      <c r="R41" s="31"/>
      <c r="S41" s="96">
        <v>1</v>
      </c>
      <c r="T41" s="97">
        <v>7.5</v>
      </c>
      <c r="U41" s="31"/>
      <c r="V41" s="96">
        <v>1</v>
      </c>
      <c r="W41" s="100">
        <v>7.5</v>
      </c>
      <c r="X41" s="31"/>
      <c r="Y41" s="21"/>
      <c r="Z41" s="31"/>
      <c r="AA41" s="31"/>
      <c r="AB41" s="21"/>
      <c r="AC41" s="31"/>
      <c r="AD41" s="31"/>
      <c r="AE41" s="21"/>
      <c r="AF41" s="21"/>
    </row>
    <row r="42" spans="1:32" x14ac:dyDescent="0.25">
      <c r="A42" s="16">
        <v>4.2500000000000003E-2</v>
      </c>
      <c r="B42" s="16">
        <v>0.15076666666666666</v>
      </c>
      <c r="C42" s="16">
        <v>0.21545</v>
      </c>
      <c r="D42" s="16">
        <v>0.24523333333333333</v>
      </c>
      <c r="E42" s="16">
        <v>0.25916666666666666</v>
      </c>
      <c r="F42" s="16">
        <v>0.26793333333333336</v>
      </c>
      <c r="G42" s="16">
        <v>0.27526166666666668</v>
      </c>
      <c r="H42" s="16">
        <v>0.27948333333333331</v>
      </c>
      <c r="I42" s="16">
        <v>0.28025000000000005</v>
      </c>
      <c r="K42" s="31"/>
      <c r="L42" s="31"/>
      <c r="M42" s="21"/>
      <c r="N42" s="31"/>
      <c r="O42" s="31"/>
      <c r="Q42" s="31"/>
      <c r="R42" s="31"/>
      <c r="S42" s="98"/>
      <c r="T42" s="99"/>
      <c r="U42" s="31"/>
      <c r="V42" s="98"/>
      <c r="W42" s="99"/>
      <c r="X42" s="31"/>
      <c r="Y42" s="21"/>
      <c r="Z42" s="31"/>
      <c r="AA42" s="31"/>
      <c r="AB42" s="21"/>
      <c r="AC42" s="31"/>
      <c r="AD42" s="31"/>
      <c r="AE42" s="21"/>
      <c r="AF42" s="21"/>
    </row>
    <row r="43" spans="1:32" x14ac:dyDescent="0.25">
      <c r="A43" s="16">
        <v>0.05</v>
      </c>
      <c r="B43" s="16">
        <v>0.1358</v>
      </c>
      <c r="C43" s="16">
        <v>0.18920000000000001</v>
      </c>
      <c r="D43" s="16">
        <v>0.20824999999999999</v>
      </c>
      <c r="E43" s="16">
        <v>0.21825</v>
      </c>
      <c r="F43" s="16">
        <v>0.22500000000000001</v>
      </c>
      <c r="G43" s="16">
        <v>0.22655</v>
      </c>
      <c r="H43" s="16">
        <v>0.22814999999999999</v>
      </c>
      <c r="I43" s="16">
        <v>0.22994999999999999</v>
      </c>
      <c r="K43" s="31"/>
      <c r="L43" s="33">
        <f>VLOOKUP(P32,L37:M41,2)</f>
        <v>3</v>
      </c>
      <c r="M43" s="33">
        <f>VLOOKUP(L43,S43:T47,2)</f>
        <v>0</v>
      </c>
      <c r="N43" s="33">
        <f>VLOOKUP(L43,V43:W47,2)</f>
        <v>1.5</v>
      </c>
      <c r="O43" s="40">
        <f>IF(M43=P32,L43,IF(M43=N43,L43,L43+(P32-M43)/(N43-M43)*(N44-M44)))</f>
        <v>3</v>
      </c>
      <c r="Q43" s="31"/>
      <c r="R43" s="31"/>
      <c r="S43" s="98">
        <v>1</v>
      </c>
      <c r="T43" s="100">
        <v>7.5</v>
      </c>
      <c r="U43" s="31"/>
      <c r="V43" s="98">
        <v>1</v>
      </c>
      <c r="W43" s="100">
        <v>7.5</v>
      </c>
      <c r="X43" s="31"/>
      <c r="Y43" s="21"/>
      <c r="Z43" s="31"/>
      <c r="AA43" s="31"/>
      <c r="AB43" s="21"/>
      <c r="AC43" s="31"/>
      <c r="AD43" s="31"/>
      <c r="AE43" s="21"/>
      <c r="AF43" s="21"/>
    </row>
    <row r="44" spans="1:32" x14ac:dyDescent="0.25">
      <c r="A44" s="16">
        <v>0.06</v>
      </c>
      <c r="B44" s="16">
        <v>0.13004999999999997</v>
      </c>
      <c r="C44" s="16">
        <v>0.16553333333333334</v>
      </c>
      <c r="D44" s="16">
        <v>0.19113333333333335</v>
      </c>
      <c r="E44" s="16">
        <v>0.20081666666666667</v>
      </c>
      <c r="F44" s="16">
        <v>0.20613333333333331</v>
      </c>
      <c r="G44" s="16">
        <v>0.21046666666666666</v>
      </c>
      <c r="H44" s="16">
        <v>0.21295</v>
      </c>
      <c r="I44" s="16">
        <v>0.21328333333333335</v>
      </c>
      <c r="K44" s="31"/>
      <c r="L44" s="31"/>
      <c r="M44" s="21">
        <f>VLOOKUP(M43,L37:M41,2)</f>
        <v>3</v>
      </c>
      <c r="N44" s="33">
        <f>VLOOKUP(N43,L37:M41,2)</f>
        <v>1.6</v>
      </c>
      <c r="O44" s="31"/>
      <c r="Q44" s="31"/>
      <c r="R44" s="31"/>
      <c r="S44" s="98">
        <v>1.1000000000000001</v>
      </c>
      <c r="T44" s="100">
        <v>5</v>
      </c>
      <c r="U44" s="31"/>
      <c r="V44" s="98">
        <v>1.1000000000000001</v>
      </c>
      <c r="W44" s="100">
        <v>7.5</v>
      </c>
      <c r="X44" s="31"/>
      <c r="Y44" s="21"/>
      <c r="Z44" s="31"/>
      <c r="AA44" s="31"/>
      <c r="AB44" s="21"/>
      <c r="AC44" s="31"/>
      <c r="AD44" s="31"/>
      <c r="AE44" s="21"/>
      <c r="AF44" s="21"/>
    </row>
    <row r="45" spans="1:32" x14ac:dyDescent="0.25">
      <c r="A45" s="16">
        <v>7.4999999999999997E-2</v>
      </c>
      <c r="B45" s="16">
        <v>0.11593333333333333</v>
      </c>
      <c r="C45" s="16">
        <v>0.14596666666666666</v>
      </c>
      <c r="D45" s="16">
        <v>0.15780000000000002</v>
      </c>
      <c r="E45" s="16">
        <v>0.16369999999999998</v>
      </c>
      <c r="F45" s="16">
        <v>0.1673</v>
      </c>
      <c r="G45" s="16">
        <v>0.16906666666666667</v>
      </c>
      <c r="H45" s="16">
        <v>0.17023333333333335</v>
      </c>
      <c r="I45" s="16">
        <v>0.17120000000000002</v>
      </c>
      <c r="K45" s="31"/>
      <c r="L45" s="31"/>
      <c r="M45" s="21"/>
      <c r="N45" s="31"/>
      <c r="O45" s="31"/>
      <c r="P45" s="21"/>
      <c r="Q45" s="31"/>
      <c r="R45" s="31"/>
      <c r="S45" s="98">
        <v>1.2</v>
      </c>
      <c r="T45" s="100">
        <v>3</v>
      </c>
      <c r="U45" s="31"/>
      <c r="V45" s="98">
        <v>1.2</v>
      </c>
      <c r="W45" s="100">
        <v>5</v>
      </c>
      <c r="X45" s="31"/>
      <c r="Y45" s="21"/>
      <c r="Z45" s="31"/>
      <c r="AA45" s="31"/>
      <c r="AB45" s="21"/>
      <c r="AC45" s="31"/>
      <c r="AD45" s="31"/>
      <c r="AE45" s="21"/>
      <c r="AF45" s="21"/>
    </row>
    <row r="46" spans="1:32" x14ac:dyDescent="0.25">
      <c r="A46" s="14"/>
      <c r="B46" s="12"/>
      <c r="S46" s="98">
        <v>1.6</v>
      </c>
      <c r="T46" s="100">
        <v>1.5</v>
      </c>
      <c r="V46" s="98">
        <v>1.6</v>
      </c>
      <c r="W46" s="100">
        <v>3</v>
      </c>
    </row>
    <row r="47" spans="1:32" ht="13" x14ac:dyDescent="0.3">
      <c r="K47" t="s">
        <v>35</v>
      </c>
      <c r="N47" s="22"/>
      <c r="S47" s="98">
        <v>3</v>
      </c>
      <c r="T47" s="100">
        <v>0</v>
      </c>
      <c r="V47" s="98">
        <v>3</v>
      </c>
      <c r="W47" s="100">
        <v>1.5</v>
      </c>
    </row>
    <row r="48" spans="1:32" x14ac:dyDescent="0.25">
      <c r="N48">
        <f>IF(N49&lt;20,20,IF(N49&gt;2500,2500,N49))</f>
        <v>2500</v>
      </c>
    </row>
    <row r="49" spans="1:28" x14ac:dyDescent="0.25">
      <c r="A49" t="s">
        <v>48</v>
      </c>
      <c r="M49" t="s">
        <v>213</v>
      </c>
      <c r="N49">
        <f>'work page'!C9</f>
        <v>2501</v>
      </c>
      <c r="O49" s="93" t="e">
        <f>'work page'!P12/'AccuSine Sizing Tool'!S38</f>
        <v>#DIV/0!</v>
      </c>
      <c r="Q49" t="s">
        <v>370</v>
      </c>
      <c r="T49" t="s">
        <v>371</v>
      </c>
    </row>
    <row r="50" spans="1:28" ht="25" x14ac:dyDescent="0.25">
      <c r="A50" t="s">
        <v>60</v>
      </c>
      <c r="B50" s="10" t="s">
        <v>59</v>
      </c>
      <c r="M50" t="str">
        <f>'AccuSine Sizing Tool'!R37</f>
        <v>%z</v>
      </c>
      <c r="N50" t="s">
        <v>18</v>
      </c>
      <c r="P50" t="s">
        <v>241</v>
      </c>
      <c r="Q50" t="s">
        <v>242</v>
      </c>
      <c r="S50" t="s">
        <v>243</v>
      </c>
      <c r="T50" t="s">
        <v>244</v>
      </c>
      <c r="V50" t="s">
        <v>246</v>
      </c>
      <c r="W50" t="s">
        <v>247</v>
      </c>
      <c r="X50" t="s">
        <v>248</v>
      </c>
      <c r="Y50" t="s">
        <v>245</v>
      </c>
      <c r="Z50" t="s">
        <v>287</v>
      </c>
    </row>
    <row r="51" spans="1:28" x14ac:dyDescent="0.25">
      <c r="A51" t="s">
        <v>145</v>
      </c>
      <c r="B51" s="8">
        <v>0.05</v>
      </c>
      <c r="C51" t="s">
        <v>143</v>
      </c>
      <c r="M51" s="41">
        <f>'AccuSine Sizing Tool'!R38</f>
        <v>0</v>
      </c>
      <c r="N51" s="4">
        <f>IF('AccuSine Sizing Tool'!E26='work page'!H$19,0.05, IF('AccuSine Sizing Tool'!E26='work page'!H$25,0.05,IF('AccuSine Sizing Tool'!E26='work page'!H$28,0.05,IF('AccuSine Sizing Tool'!$B26=0,0,IF('AccuSine Sizing Tool'!G26=12,0.12,IF('AccuSine Sizing Tool'!G26=18,0.055,INDEX('Selection Basics'!$A$37:$I$45,MATCH('AccuSine Sizing Tool'!R38/100,'Selection Basics'!$A$37:$A$45),MATCH('AccuSine Sizing Tool'!$N38,'Selection Basics'!$A$36:$I$36))))))))</f>
        <v>0</v>
      </c>
      <c r="P51" s="5">
        <f>IF(M51=0,0,O64)</f>
        <v>0</v>
      </c>
      <c r="Q51" s="4">
        <f>INDEX($A$36:$I$45,MATCH(P51/100,$A$36:$A$45,1),MATCH('AccuSine Sizing Tool'!$N38,$A$36:$I$36))</f>
        <v>1.84755</v>
      </c>
      <c r="S51" s="5">
        <f>IF(M51&lt;=1.14,0,VLOOKUP(M51/100,(A$37:A$45),1)*100)</f>
        <v>0</v>
      </c>
      <c r="T51" s="4">
        <f>N51</f>
        <v>0</v>
      </c>
      <c r="V51" s="41">
        <f>T51-Q51</f>
        <v>-1.84755</v>
      </c>
      <c r="W51" s="5">
        <f>P51-S51</f>
        <v>0</v>
      </c>
      <c r="X51" s="41">
        <f>M51-S51</f>
        <v>0</v>
      </c>
      <c r="Y51" s="4">
        <f>IF(M51&gt;=7.5,N51,IF(X51=0,T51,IF(W51=0,0,T51-X51/W51*V51)))</f>
        <v>0</v>
      </c>
      <c r="Z51" s="4">
        <f>IF('AccuSine Sizing Tool'!G26=12,'Selection Basics'!Q51/2.1,IF('AccuSine Sizing Tool'!G26=18,'Selection Basics'!Q51/4,IF('AccuSine Sizing Tool'!E26='work page'!H$19,5%,IF('AccuSine Sizing Tool'!E26='work page'!H$25,5%,'Selection Basics'!Y51))))</f>
        <v>0</v>
      </c>
      <c r="AB51" s="4"/>
    </row>
    <row r="52" spans="1:28" x14ac:dyDescent="0.25">
      <c r="A52" t="s">
        <v>146</v>
      </c>
      <c r="B52" s="8">
        <v>0.05</v>
      </c>
      <c r="C52" t="s">
        <v>144</v>
      </c>
      <c r="M52" s="41">
        <f>'AccuSine Sizing Tool'!R39</f>
        <v>0</v>
      </c>
      <c r="N52" s="4">
        <f>IF('AccuSine Sizing Tool'!E27='work page'!H$19,0.05, IF('AccuSine Sizing Tool'!E27='work page'!H$25,0.05,IF('AccuSine Sizing Tool'!E27='work page'!H$28,0.05,IF('AccuSine Sizing Tool'!$B27=0,0,IF('AccuSine Sizing Tool'!G27=12,0.12,IF('AccuSine Sizing Tool'!G27=18,0.055,INDEX('Selection Basics'!$A$37:$I$45,MATCH('AccuSine Sizing Tool'!R39/100,'Selection Basics'!$A$37:$A$45),MATCH('AccuSine Sizing Tool'!$N39,'Selection Basics'!$A$36:$I$36))))))))</f>
        <v>0</v>
      </c>
      <c r="P52" s="5">
        <f t="shared" ref="P52:P60" si="3">IF(M52=0,0,O65)</f>
        <v>0</v>
      </c>
      <c r="Q52" s="4">
        <f>INDEX($A$36:$I$45,MATCH(P52/100,$A$36:$A$45,1),MATCH('AccuSine Sizing Tool'!$N39,$A$36:$I$36))</f>
        <v>1.84755</v>
      </c>
      <c r="S52" s="5">
        <f t="shared" ref="S52:S60" si="4">IF(M52&lt;=1.14,0,VLOOKUP(M52/100,(A$37:A$45),1)*100)</f>
        <v>0</v>
      </c>
      <c r="T52" s="4">
        <f t="shared" ref="T52:T60" si="5">N52</f>
        <v>0</v>
      </c>
      <c r="V52" s="41">
        <f t="shared" ref="V52:V60" si="6">T52-Q52</f>
        <v>-1.84755</v>
      </c>
      <c r="W52" s="5">
        <f t="shared" ref="W52:W60" si="7">P52-S52</f>
        <v>0</v>
      </c>
      <c r="X52" s="41">
        <f t="shared" ref="X52:X60" si="8">M52-S52</f>
        <v>0</v>
      </c>
      <c r="Y52" s="4">
        <f t="shared" ref="Y52:Y60" si="9">IF(M52&gt;=7.5,N52,IF(X52=0,T52,IF(W52=0,0,T52-X52/W52*V52)))</f>
        <v>0</v>
      </c>
      <c r="Z52" s="4">
        <f>IF('AccuSine Sizing Tool'!G27=12,'Selection Basics'!Q52/2.1,IF('AccuSine Sizing Tool'!G27=18,'Selection Basics'!Q52/4,IF('AccuSine Sizing Tool'!E27='work page'!H$19,5%,IF('AccuSine Sizing Tool'!E27='work page'!H$25,5%,'Selection Basics'!Y52))))</f>
        <v>0</v>
      </c>
    </row>
    <row r="53" spans="1:28" ht="13" x14ac:dyDescent="0.3">
      <c r="A53" s="22" t="s">
        <v>49</v>
      </c>
      <c r="B53" s="4">
        <v>0.05</v>
      </c>
      <c r="C53" t="s">
        <v>100</v>
      </c>
      <c r="M53" s="41">
        <f>'AccuSine Sizing Tool'!R40</f>
        <v>0</v>
      </c>
      <c r="N53" s="4">
        <f>IF('AccuSine Sizing Tool'!E28='work page'!H$19,0.05, IF('AccuSine Sizing Tool'!E28='work page'!H$25,0.05,IF('AccuSine Sizing Tool'!E28='work page'!H$28,0.05,IF('AccuSine Sizing Tool'!$B28=0,0,IF('AccuSine Sizing Tool'!G28=12,0.12,IF('AccuSine Sizing Tool'!G28=18,0.055,INDEX('Selection Basics'!$A$37:$I$45,MATCH('AccuSine Sizing Tool'!R40/100,'Selection Basics'!$A$37:$A$45),MATCH('AccuSine Sizing Tool'!$N40,'Selection Basics'!$A$36:$I$36))))))))</f>
        <v>0</v>
      </c>
      <c r="P53" s="5">
        <f t="shared" si="3"/>
        <v>0</v>
      </c>
      <c r="Q53" s="4">
        <f>INDEX($A$36:$I$45,MATCH(P53/100,$A$36:$A$45,1),MATCH('AccuSine Sizing Tool'!$N40,$A$36:$I$36))</f>
        <v>1.84755</v>
      </c>
      <c r="S53" s="5">
        <f t="shared" si="4"/>
        <v>0</v>
      </c>
      <c r="T53" s="4">
        <f t="shared" si="5"/>
        <v>0</v>
      </c>
      <c r="V53" s="41">
        <f t="shared" si="6"/>
        <v>-1.84755</v>
      </c>
      <c r="W53" s="5">
        <f t="shared" si="7"/>
        <v>0</v>
      </c>
      <c r="X53" s="41">
        <f t="shared" si="8"/>
        <v>0</v>
      </c>
      <c r="Y53" s="4">
        <f t="shared" si="9"/>
        <v>0</v>
      </c>
      <c r="Z53" s="4">
        <f>IF('AccuSine Sizing Tool'!G28=12,'Selection Basics'!Q53/2.1,IF('AccuSine Sizing Tool'!G28=18,'Selection Basics'!Q53/4,IF('AccuSine Sizing Tool'!E28='work page'!H$19,5%,IF('AccuSine Sizing Tool'!E28='work page'!H$25,5%,'Selection Basics'!Y53))))</f>
        <v>0</v>
      </c>
    </row>
    <row r="54" spans="1:28" x14ac:dyDescent="0.25">
      <c r="A54" t="s">
        <v>54</v>
      </c>
      <c r="B54" s="4" t="s">
        <v>58</v>
      </c>
      <c r="C54" t="s">
        <v>147</v>
      </c>
      <c r="M54" s="41">
        <f>'AccuSine Sizing Tool'!R41</f>
        <v>0</v>
      </c>
      <c r="N54" s="4">
        <f>IF('AccuSine Sizing Tool'!E29='work page'!H$19,0.05, IF('AccuSine Sizing Tool'!E29='work page'!H$25,0.05,IF('AccuSine Sizing Tool'!E29='work page'!H$28,0.05,IF('AccuSine Sizing Tool'!$B29=0,0,IF('AccuSine Sizing Tool'!G29=12,0.12,IF('AccuSine Sizing Tool'!G29=18,0.055,INDEX('Selection Basics'!$A$37:$I$45,MATCH('AccuSine Sizing Tool'!R41/100,'Selection Basics'!$A$37:$A$45),MATCH('AccuSine Sizing Tool'!$N41,'Selection Basics'!$A$36:$I$36))))))))</f>
        <v>0</v>
      </c>
      <c r="P54" s="5">
        <f t="shared" si="3"/>
        <v>0</v>
      </c>
      <c r="Q54" s="4">
        <f>INDEX($A$36:$I$45,MATCH(P54/100,$A$36:$A$45,1),MATCH('AccuSine Sizing Tool'!$N41,$A$36:$I$36))</f>
        <v>1.84755</v>
      </c>
      <c r="S54" s="5">
        <f t="shared" si="4"/>
        <v>0</v>
      </c>
      <c r="T54" s="4">
        <f t="shared" si="5"/>
        <v>0</v>
      </c>
      <c r="V54" s="41">
        <f t="shared" si="6"/>
        <v>-1.84755</v>
      </c>
      <c r="W54" s="5">
        <f t="shared" si="7"/>
        <v>0</v>
      </c>
      <c r="X54" s="41">
        <f t="shared" si="8"/>
        <v>0</v>
      </c>
      <c r="Y54" s="4">
        <f t="shared" si="9"/>
        <v>0</v>
      </c>
      <c r="Z54" s="4">
        <f>IF('AccuSine Sizing Tool'!G29=12,'Selection Basics'!Q54/2.1,IF('AccuSine Sizing Tool'!G29=18,'Selection Basics'!Q54/4,IF('AccuSine Sizing Tool'!E29='work page'!H$19,5%,IF('AccuSine Sizing Tool'!E29='work page'!H$25,5%,'Selection Basics'!Y54))))</f>
        <v>0</v>
      </c>
    </row>
    <row r="55" spans="1:28" ht="13" x14ac:dyDescent="0.3">
      <c r="A55" s="22" t="s">
        <v>50</v>
      </c>
      <c r="B55" s="4">
        <v>0.05</v>
      </c>
      <c r="C55" t="s">
        <v>100</v>
      </c>
      <c r="M55" s="41">
        <f>'AccuSine Sizing Tool'!R42</f>
        <v>0</v>
      </c>
      <c r="N55" s="4">
        <f>IF('AccuSine Sizing Tool'!E30='work page'!H$19,0.05, IF('AccuSine Sizing Tool'!E30='work page'!H$25,0.05,IF('AccuSine Sizing Tool'!E30='work page'!H$28,0.05,IF('AccuSine Sizing Tool'!$B30=0,0,IF('AccuSine Sizing Tool'!G30=12,0.12,IF('AccuSine Sizing Tool'!G30=18,0.055,INDEX('Selection Basics'!$A$37:$I$45,MATCH('AccuSine Sizing Tool'!R42/100,'Selection Basics'!$A$37:$A$45),MATCH('AccuSine Sizing Tool'!$N42,'Selection Basics'!$A$36:$I$36))))))))</f>
        <v>0</v>
      </c>
      <c r="P55" s="5">
        <f t="shared" si="3"/>
        <v>0</v>
      </c>
      <c r="Q55" s="4">
        <f>INDEX($A$36:$I$45,MATCH(P55/100,$A$36:$A$45,1),MATCH('AccuSine Sizing Tool'!$N42,$A$36:$I$36))</f>
        <v>1.84755</v>
      </c>
      <c r="S55" s="5">
        <f t="shared" si="4"/>
        <v>0</v>
      </c>
      <c r="T55" s="4">
        <f t="shared" si="5"/>
        <v>0</v>
      </c>
      <c r="V55" s="41">
        <f t="shared" si="6"/>
        <v>-1.84755</v>
      </c>
      <c r="W55" s="5">
        <f t="shared" si="7"/>
        <v>0</v>
      </c>
      <c r="X55" s="41">
        <f t="shared" si="8"/>
        <v>0</v>
      </c>
      <c r="Y55" s="4">
        <f t="shared" si="9"/>
        <v>0</v>
      </c>
      <c r="Z55" s="4">
        <f>IF('AccuSine Sizing Tool'!G30=12,'Selection Basics'!Q55/2.1,IF('AccuSine Sizing Tool'!G30=18,'Selection Basics'!Q55/4,IF('AccuSine Sizing Tool'!E30='work page'!H$19,5%,IF('AccuSine Sizing Tool'!E30='work page'!H$25,5%,'Selection Basics'!Y55))))</f>
        <v>0</v>
      </c>
    </row>
    <row r="56" spans="1:28" x14ac:dyDescent="0.25">
      <c r="A56" t="s">
        <v>51</v>
      </c>
      <c r="B56" s="4">
        <v>0.05</v>
      </c>
      <c r="M56" s="41">
        <f>'AccuSine Sizing Tool'!R43</f>
        <v>0</v>
      </c>
      <c r="N56" s="4">
        <f>IF('AccuSine Sizing Tool'!E31='work page'!H$19,0.05, IF('AccuSine Sizing Tool'!E31='work page'!H$25,0.05,IF('AccuSine Sizing Tool'!E31='work page'!H$28,0.05,IF('AccuSine Sizing Tool'!$B31=0,0,IF('AccuSine Sizing Tool'!G31=12,0.12,IF('AccuSine Sizing Tool'!G31=18,0.055,INDEX('Selection Basics'!$A$37:$I$45,MATCH('AccuSine Sizing Tool'!R43/100,'Selection Basics'!$A$37:$A$45),MATCH('AccuSine Sizing Tool'!$N43,'Selection Basics'!$A$36:$I$36))))))))</f>
        <v>0</v>
      </c>
      <c r="P56" s="5">
        <f t="shared" si="3"/>
        <v>0</v>
      </c>
      <c r="Q56" s="4">
        <f>INDEX($A$36:$I$45,MATCH(P56/100,$A$36:$A$45,1),MATCH('AccuSine Sizing Tool'!$N43,$A$36:$I$36))</f>
        <v>1.84755</v>
      </c>
      <c r="S56" s="5">
        <f t="shared" si="4"/>
        <v>0</v>
      </c>
      <c r="T56" s="4">
        <f t="shared" si="5"/>
        <v>0</v>
      </c>
      <c r="V56" s="41">
        <f t="shared" si="6"/>
        <v>-1.84755</v>
      </c>
      <c r="W56" s="5">
        <f t="shared" si="7"/>
        <v>0</v>
      </c>
      <c r="X56" s="41">
        <f t="shared" si="8"/>
        <v>0</v>
      </c>
      <c r="Y56" s="4">
        <f t="shared" si="9"/>
        <v>0</v>
      </c>
      <c r="Z56" s="4">
        <f>IF('AccuSine Sizing Tool'!G31=12,'Selection Basics'!Q56/2.1,IF('AccuSine Sizing Tool'!G31=18,'Selection Basics'!Q56/4,IF('AccuSine Sizing Tool'!E31='work page'!H$19,5%,IF('AccuSine Sizing Tool'!E31='work page'!H$25,5%,'Selection Basics'!Y56))))</f>
        <v>0</v>
      </c>
    </row>
    <row r="57" spans="1:28" x14ac:dyDescent="0.25">
      <c r="A57" t="s">
        <v>52</v>
      </c>
      <c r="B57" s="4">
        <v>0.05</v>
      </c>
      <c r="C57" t="s">
        <v>100</v>
      </c>
      <c r="M57" s="41">
        <f>'AccuSine Sizing Tool'!R44</f>
        <v>0</v>
      </c>
      <c r="N57" s="4">
        <f>IF('AccuSine Sizing Tool'!E32='work page'!H$19,0.05, IF('AccuSine Sizing Tool'!E32='work page'!H$25,0.05,IF('AccuSine Sizing Tool'!E32='work page'!H$28,0.05,IF('AccuSine Sizing Tool'!$B32=0,0,IF('AccuSine Sizing Tool'!G32=12,0.12,IF('AccuSine Sizing Tool'!G32=18,0.055,INDEX('Selection Basics'!$A$37:$I$45,MATCH('AccuSine Sizing Tool'!R44/100,'Selection Basics'!$A$37:$A$45),MATCH('AccuSine Sizing Tool'!$N44,'Selection Basics'!$A$36:$I$36))))))))</f>
        <v>0</v>
      </c>
      <c r="P57" s="5">
        <f t="shared" si="3"/>
        <v>0</v>
      </c>
      <c r="Q57" s="4">
        <f>INDEX($A$36:$I$45,MATCH(P57/100,$A$36:$A$45,1),MATCH('AccuSine Sizing Tool'!$N44,$A$36:$I$36))</f>
        <v>1.84755</v>
      </c>
      <c r="S57" s="5">
        <f t="shared" si="4"/>
        <v>0</v>
      </c>
      <c r="T57" s="4">
        <f t="shared" si="5"/>
        <v>0</v>
      </c>
      <c r="V57" s="41">
        <f t="shared" si="6"/>
        <v>-1.84755</v>
      </c>
      <c r="W57" s="5">
        <f t="shared" si="7"/>
        <v>0</v>
      </c>
      <c r="X57" s="41">
        <f t="shared" si="8"/>
        <v>0</v>
      </c>
      <c r="Y57" s="4">
        <f t="shared" si="9"/>
        <v>0</v>
      </c>
      <c r="Z57" s="4">
        <f>IF('AccuSine Sizing Tool'!G32=12,'Selection Basics'!Q57/2.1,IF('AccuSine Sizing Tool'!G32=18,'Selection Basics'!Q57/4,IF('AccuSine Sizing Tool'!E32='work page'!H$19,5%,IF('AccuSine Sizing Tool'!E32='work page'!H$25,5%,'Selection Basics'!Y57))))</f>
        <v>0</v>
      </c>
    </row>
    <row r="58" spans="1:28" x14ac:dyDescent="0.25">
      <c r="A58" t="s">
        <v>53</v>
      </c>
      <c r="B58" s="4" t="s">
        <v>58</v>
      </c>
      <c r="C58" t="s">
        <v>147</v>
      </c>
      <c r="M58" s="41">
        <f>'AccuSine Sizing Tool'!R45</f>
        <v>0</v>
      </c>
      <c r="N58" s="4">
        <f>IF('AccuSine Sizing Tool'!E33='work page'!H$19,0.05, IF('AccuSine Sizing Tool'!E33='work page'!H$25,0.05,IF('AccuSine Sizing Tool'!E33='work page'!H$28,0.05,IF('AccuSine Sizing Tool'!$B33=0,0,IF('AccuSine Sizing Tool'!G33=12,0.12,IF('AccuSine Sizing Tool'!G33=18,0.055,INDEX('Selection Basics'!$A$37:$I$45,MATCH('AccuSine Sizing Tool'!R45/100,'Selection Basics'!$A$37:$A$45),MATCH('AccuSine Sizing Tool'!$N45,'Selection Basics'!$A$36:$I$36))))))))</f>
        <v>0</v>
      </c>
      <c r="P58" s="5">
        <f t="shared" si="3"/>
        <v>0</v>
      </c>
      <c r="Q58" s="4">
        <f>INDEX($A$36:$I$45,MATCH(P58/100,$A$36:$A$45,1),MATCH('AccuSine Sizing Tool'!$N45,$A$36:$I$36))</f>
        <v>1.84755</v>
      </c>
      <c r="S58" s="5">
        <f t="shared" si="4"/>
        <v>0</v>
      </c>
      <c r="T58" s="4">
        <f t="shared" si="5"/>
        <v>0</v>
      </c>
      <c r="V58" s="41">
        <f t="shared" si="6"/>
        <v>-1.84755</v>
      </c>
      <c r="W58" s="5">
        <f t="shared" si="7"/>
        <v>0</v>
      </c>
      <c r="X58" s="41">
        <f t="shared" si="8"/>
        <v>0</v>
      </c>
      <c r="Y58" s="4">
        <f t="shared" si="9"/>
        <v>0</v>
      </c>
      <c r="Z58" s="4">
        <f>IF('AccuSine Sizing Tool'!G33=12,'Selection Basics'!Q58/2.1,IF('AccuSine Sizing Tool'!G33=18,'Selection Basics'!Q58/4,IF('AccuSine Sizing Tool'!E33='work page'!H$19,5%,IF('AccuSine Sizing Tool'!E33='work page'!H$25,5%,'Selection Basics'!Y58))))</f>
        <v>0</v>
      </c>
    </row>
    <row r="59" spans="1:28" ht="13" x14ac:dyDescent="0.3">
      <c r="A59" s="22" t="s">
        <v>55</v>
      </c>
      <c r="B59" s="4">
        <v>0.05</v>
      </c>
      <c r="C59" t="s">
        <v>100</v>
      </c>
      <c r="M59" s="41">
        <f>'AccuSine Sizing Tool'!R46</f>
        <v>0</v>
      </c>
      <c r="N59" s="4">
        <f>IF('AccuSine Sizing Tool'!E34='work page'!H$19,0.05, IF('AccuSine Sizing Tool'!E34='work page'!H$25,0.05,IF('AccuSine Sizing Tool'!E34='work page'!H$28,0.05,IF('AccuSine Sizing Tool'!$B34=0,0,IF('AccuSine Sizing Tool'!G34=12,0.12,IF('AccuSine Sizing Tool'!G34=18,0.055,INDEX('Selection Basics'!$A$37:$I$45,MATCH('AccuSine Sizing Tool'!R46/100,'Selection Basics'!$A$37:$A$45),MATCH('AccuSine Sizing Tool'!$N46,'Selection Basics'!$A$36:$I$36))))))))</f>
        <v>0</v>
      </c>
      <c r="P59" s="5">
        <f t="shared" si="3"/>
        <v>0</v>
      </c>
      <c r="Q59" s="4">
        <f>INDEX($A$36:$I$45,MATCH(P59/100,$A$36:$A$45,1),MATCH('AccuSine Sizing Tool'!$N46,$A$36:$I$36))</f>
        <v>1.84755</v>
      </c>
      <c r="S59" s="5">
        <f t="shared" si="4"/>
        <v>0</v>
      </c>
      <c r="T59" s="4">
        <f t="shared" si="5"/>
        <v>0</v>
      </c>
      <c r="V59" s="41">
        <f t="shared" si="6"/>
        <v>-1.84755</v>
      </c>
      <c r="W59" s="5">
        <f t="shared" si="7"/>
        <v>0</v>
      </c>
      <c r="X59" s="41">
        <f t="shared" si="8"/>
        <v>0</v>
      </c>
      <c r="Y59" s="4">
        <f t="shared" si="9"/>
        <v>0</v>
      </c>
      <c r="Z59" s="4">
        <f>IF('AccuSine Sizing Tool'!G34=12,'Selection Basics'!Q59/2.1,IF('AccuSine Sizing Tool'!G34=18,'Selection Basics'!Q59/4,IF('AccuSine Sizing Tool'!E34='work page'!H$19,5%,IF('AccuSine Sizing Tool'!E34='work page'!H$25,5%,'Selection Basics'!Y59))))</f>
        <v>0</v>
      </c>
    </row>
    <row r="60" spans="1:28" x14ac:dyDescent="0.25">
      <c r="A60" t="s">
        <v>56</v>
      </c>
      <c r="B60" s="4">
        <v>0</v>
      </c>
      <c r="C60" t="s">
        <v>64</v>
      </c>
      <c r="M60" s="41">
        <f>'AccuSine Sizing Tool'!R47</f>
        <v>0</v>
      </c>
      <c r="N60" s="4">
        <f>IF('AccuSine Sizing Tool'!E35='work page'!H$19,0.05, IF('AccuSine Sizing Tool'!E35='work page'!H$25,0.05,IF('AccuSine Sizing Tool'!E35='work page'!H$28,0.05,IF('AccuSine Sizing Tool'!$B35=0,0,IF('AccuSine Sizing Tool'!G35=12,0.12,IF('AccuSine Sizing Tool'!G35=18,0.055,INDEX('Selection Basics'!$A$37:$I$45,MATCH('AccuSine Sizing Tool'!R47/100,'Selection Basics'!$A$37:$A$45),MATCH('AccuSine Sizing Tool'!$N47,'Selection Basics'!$A$36:$I$36))))))))</f>
        <v>0</v>
      </c>
      <c r="P60" s="5">
        <f t="shared" si="3"/>
        <v>0</v>
      </c>
      <c r="Q60" s="4">
        <f>INDEX($A$36:$I$45,MATCH(P60/100,$A$36:$A$45,1),MATCH('AccuSine Sizing Tool'!$N47,$A$36:$I$36))</f>
        <v>1.84755</v>
      </c>
      <c r="S60" s="5">
        <f t="shared" si="4"/>
        <v>0</v>
      </c>
      <c r="T60" s="4">
        <f t="shared" si="5"/>
        <v>0</v>
      </c>
      <c r="V60" s="41">
        <f t="shared" si="6"/>
        <v>-1.84755</v>
      </c>
      <c r="W60" s="5">
        <f t="shared" si="7"/>
        <v>0</v>
      </c>
      <c r="X60" s="41">
        <f t="shared" si="8"/>
        <v>0</v>
      </c>
      <c r="Y60" s="4">
        <f t="shared" si="9"/>
        <v>0</v>
      </c>
      <c r="Z60" s="4">
        <f>IF('AccuSine Sizing Tool'!G35=12,'Selection Basics'!Q60/2.1,IF('AccuSine Sizing Tool'!G35=18,'Selection Basics'!Q60/4,IF('AccuSine Sizing Tool'!E35='work page'!H$19,5%,IF('AccuSine Sizing Tool'!E35='work page'!H$25,5%,'Selection Basics'!Y60))))</f>
        <v>0</v>
      </c>
    </row>
    <row r="61" spans="1:28" x14ac:dyDescent="0.25">
      <c r="A61" t="s">
        <v>57</v>
      </c>
      <c r="B61" s="4">
        <v>0</v>
      </c>
      <c r="C61" t="s">
        <v>64</v>
      </c>
    </row>
    <row r="62" spans="1:28" ht="25" x14ac:dyDescent="0.25">
      <c r="A62" s="7" t="s">
        <v>61</v>
      </c>
      <c r="B62" s="4">
        <v>0.03</v>
      </c>
      <c r="C62" t="s">
        <v>65</v>
      </c>
      <c r="N62" s="34"/>
    </row>
    <row r="63" spans="1:28" ht="25" x14ac:dyDescent="0.25">
      <c r="A63" s="18" t="s">
        <v>62</v>
      </c>
      <c r="B63" s="4">
        <v>0.03</v>
      </c>
      <c r="C63" t="s">
        <v>147</v>
      </c>
    </row>
    <row r="64" spans="1:28" ht="13" x14ac:dyDescent="0.3">
      <c r="A64" s="22" t="s">
        <v>63</v>
      </c>
      <c r="B64" s="4">
        <v>0.03</v>
      </c>
      <c r="C64" t="s">
        <v>64</v>
      </c>
      <c r="M64">
        <f>IF(M51=0,0,IF(M51&lt;=1.15,1.15,IF(M51&lt;=1.5,1.5,IF(M51&lt;=2.5,2.5,IF(M51&lt;=3,3,0)))))</f>
        <v>0</v>
      </c>
      <c r="N64">
        <f>IF(M51&lt;=3,0,IF(M51&lt;=4.25,4.25,IF(M51&lt;=5,5,IF(M51&lt;=6,6,IF(M51&lt;=7.5,7.5,7.5)))))</f>
        <v>0</v>
      </c>
      <c r="O64">
        <f>N64+M64</f>
        <v>0</v>
      </c>
    </row>
    <row r="65" spans="1:15" x14ac:dyDescent="0.25">
      <c r="M65">
        <f t="shared" ref="M65:M73" si="10">IF(M52=0,0,IF(M52&lt;=1.15,1.15,IF(M52&lt;=1.5,1.5,IF(M52&lt;=2.5,2.5,IF(M52&lt;=3,3,0)))))</f>
        <v>0</v>
      </c>
      <c r="N65">
        <f t="shared" ref="N65:N73" si="11">IF(M52&lt;=3,0,IF(M52&lt;=4.25,4.25,IF(M52&lt;=5,5,IF(M52&lt;=6,6,IF(M52&lt;=7.5,7.5,7.5)))))</f>
        <v>0</v>
      </c>
      <c r="O65">
        <f t="shared" ref="O65:O73" si="12">N65+M65</f>
        <v>0</v>
      </c>
    </row>
    <row r="66" spans="1:15" x14ac:dyDescent="0.25">
      <c r="M66">
        <f t="shared" si="10"/>
        <v>0</v>
      </c>
      <c r="N66">
        <f t="shared" si="11"/>
        <v>0</v>
      </c>
      <c r="O66">
        <f t="shared" si="12"/>
        <v>0</v>
      </c>
    </row>
    <row r="67" spans="1:15" x14ac:dyDescent="0.25">
      <c r="A67" t="s">
        <v>66</v>
      </c>
      <c r="M67">
        <f t="shared" si="10"/>
        <v>0</v>
      </c>
      <c r="N67">
        <f t="shared" si="11"/>
        <v>0</v>
      </c>
      <c r="O67">
        <f t="shared" si="12"/>
        <v>0</v>
      </c>
    </row>
    <row r="68" spans="1:15" x14ac:dyDescent="0.25">
      <c r="A68" t="s">
        <v>67</v>
      </c>
      <c r="M68">
        <f t="shared" si="10"/>
        <v>0</v>
      </c>
      <c r="N68">
        <f t="shared" si="11"/>
        <v>0</v>
      </c>
      <c r="O68">
        <f t="shared" si="12"/>
        <v>0</v>
      </c>
    </row>
    <row r="69" spans="1:15" x14ac:dyDescent="0.25">
      <c r="B69" s="11" t="s">
        <v>68</v>
      </c>
      <c r="M69">
        <f t="shared" si="10"/>
        <v>0</v>
      </c>
      <c r="N69">
        <f t="shared" si="11"/>
        <v>0</v>
      </c>
      <c r="O69">
        <f t="shared" si="12"/>
        <v>0</v>
      </c>
    </row>
    <row r="70" spans="1:15" x14ac:dyDescent="0.25">
      <c r="B70" s="11" t="s">
        <v>69</v>
      </c>
      <c r="M70">
        <f t="shared" si="10"/>
        <v>0</v>
      </c>
      <c r="N70">
        <f t="shared" si="11"/>
        <v>0</v>
      </c>
      <c r="O70">
        <f t="shared" si="12"/>
        <v>0</v>
      </c>
    </row>
    <row r="71" spans="1:15" x14ac:dyDescent="0.25">
      <c r="B71" s="11" t="s">
        <v>70</v>
      </c>
      <c r="M71">
        <f t="shared" si="10"/>
        <v>0</v>
      </c>
      <c r="N71">
        <f t="shared" si="11"/>
        <v>0</v>
      </c>
      <c r="O71">
        <f t="shared" si="12"/>
        <v>0</v>
      </c>
    </row>
    <row r="72" spans="1:15" x14ac:dyDescent="0.25">
      <c r="B72" s="11" t="s">
        <v>71</v>
      </c>
      <c r="M72">
        <f t="shared" si="10"/>
        <v>0</v>
      </c>
      <c r="N72">
        <f t="shared" si="11"/>
        <v>0</v>
      </c>
      <c r="O72">
        <f t="shared" si="12"/>
        <v>0</v>
      </c>
    </row>
    <row r="73" spans="1:15" x14ac:dyDescent="0.25">
      <c r="M73">
        <f t="shared" si="10"/>
        <v>0</v>
      </c>
      <c r="N73">
        <f t="shared" si="11"/>
        <v>0</v>
      </c>
      <c r="O73">
        <f t="shared" si="12"/>
        <v>0</v>
      </c>
    </row>
    <row r="74" spans="1:15" x14ac:dyDescent="0.25">
      <c r="A74" t="s">
        <v>72</v>
      </c>
    </row>
  </sheetData>
  <mergeCells count="2">
    <mergeCell ref="J1:Q1"/>
    <mergeCell ref="B35:I35"/>
  </mergeCells>
  <phoneticPr fontId="0" type="noConversion"/>
  <dataValidations disablePrompts="1" count="1">
    <dataValidation type="list" allowBlank="1" showInputMessage="1" showErrorMessage="1" sqref="E13" xr:uid="{00000000-0002-0000-0200-000000000000}">
      <formula1>$E$13:$E$14</formula1>
    </dataValidation>
  </dataValidations>
  <pageMargins left="0.75" right="0.75" top="1" bottom="1" header="0.5" footer="0.5"/>
  <pageSetup orientation="portrait" verticalDpi="1200" r:id="rId1"/>
  <headerFooter alignWithMargins="0">
    <oddFooter>&amp;C&amp;1#&amp;"Arial"&amp;6&amp;K626469Internal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3:K39"/>
  <sheetViews>
    <sheetView showGridLines="0" zoomScaleNormal="100" workbookViewId="0">
      <selection activeCell="H4" sqref="H4"/>
    </sheetView>
  </sheetViews>
  <sheetFormatPr defaultColWidth="5.6328125" defaultRowHeight="15" x14ac:dyDescent="0.3"/>
  <cols>
    <col min="1" max="1" width="5.6328125" style="233" customWidth="1"/>
    <col min="2" max="2" width="5.453125" style="232" customWidth="1"/>
    <col min="3" max="3" width="74.453125" style="232" customWidth="1"/>
    <col min="4" max="4" width="22.453125" style="232" customWidth="1"/>
    <col min="5" max="7" width="5.6328125" style="232" hidden="1" customWidth="1"/>
    <col min="8" max="8" width="19.54296875" style="232" customWidth="1"/>
    <col min="9" max="16384" width="5.6328125" style="232"/>
  </cols>
  <sheetData>
    <row r="3" spans="1:10" ht="27" customHeight="1" x14ac:dyDescent="0.55000000000000004">
      <c r="A3" s="704" t="s">
        <v>1030</v>
      </c>
      <c r="B3" s="704"/>
      <c r="C3" s="704"/>
      <c r="D3" s="704"/>
      <c r="E3" s="704"/>
      <c r="F3" s="704"/>
      <c r="G3" s="704"/>
      <c r="H3" s="704"/>
    </row>
    <row r="4" spans="1:10" ht="15.5" x14ac:dyDescent="0.35">
      <c r="A4" s="302"/>
      <c r="B4" s="303"/>
      <c r="C4" s="303"/>
      <c r="D4" s="304" t="s">
        <v>218</v>
      </c>
      <c r="E4" s="303"/>
      <c r="F4" s="303"/>
      <c r="G4" s="304" t="s">
        <v>218</v>
      </c>
      <c r="H4" s="305">
        <v>42877</v>
      </c>
    </row>
    <row r="5" spans="1:10" ht="15.5" x14ac:dyDescent="0.3">
      <c r="A5" s="302"/>
      <c r="B5" s="306"/>
      <c r="C5" s="719" t="s">
        <v>285</v>
      </c>
      <c r="D5" s="719"/>
      <c r="E5" s="306"/>
      <c r="F5" s="306"/>
      <c r="G5" s="306"/>
      <c r="H5" s="306"/>
      <c r="I5" s="234"/>
      <c r="J5" s="234"/>
    </row>
    <row r="6" spans="1:10" ht="15.5" x14ac:dyDescent="0.35">
      <c r="A6" s="302"/>
      <c r="B6" s="307"/>
      <c r="C6" s="720" t="s">
        <v>209</v>
      </c>
      <c r="D6" s="720"/>
      <c r="E6" s="307"/>
      <c r="F6" s="307"/>
      <c r="G6" s="307"/>
      <c r="H6" s="307"/>
      <c r="I6" s="105"/>
      <c r="J6" s="105"/>
    </row>
    <row r="7" spans="1:10" ht="15.5" x14ac:dyDescent="0.35">
      <c r="A7" s="302"/>
      <c r="B7" s="303"/>
      <c r="C7" s="720" t="s">
        <v>692</v>
      </c>
      <c r="D7" s="720"/>
      <c r="E7" s="307"/>
      <c r="F7" s="307"/>
      <c r="G7" s="307"/>
      <c r="H7" s="307"/>
      <c r="I7" s="105"/>
      <c r="J7" s="105"/>
    </row>
    <row r="8" spans="1:10" ht="15.5" x14ac:dyDescent="0.35">
      <c r="A8" s="302"/>
      <c r="B8" s="307"/>
      <c r="C8" s="720" t="s">
        <v>689</v>
      </c>
      <c r="D8" s="720"/>
      <c r="E8" s="307"/>
      <c r="F8" s="307"/>
      <c r="G8" s="307"/>
      <c r="H8" s="307"/>
    </row>
    <row r="9" spans="1:10" ht="15.5" thickBot="1" x14ac:dyDescent="0.35"/>
    <row r="10" spans="1:10" ht="53.25" customHeight="1" thickBot="1" x14ac:dyDescent="0.35">
      <c r="A10" s="308" t="s">
        <v>234</v>
      </c>
      <c r="B10" s="707" t="s">
        <v>1031</v>
      </c>
      <c r="C10" s="707"/>
      <c r="D10" s="707"/>
      <c r="E10" s="707"/>
      <c r="F10" s="707"/>
      <c r="G10" s="707"/>
      <c r="H10" s="708"/>
    </row>
    <row r="11" spans="1:10" ht="18" customHeight="1" thickBot="1" x14ac:dyDescent="0.35">
      <c r="A11" s="309"/>
      <c r="B11" s="310"/>
      <c r="C11" s="310"/>
      <c r="D11" s="310"/>
      <c r="E11" s="310"/>
      <c r="F11" s="310"/>
      <c r="G11" s="310"/>
      <c r="H11" s="311"/>
    </row>
    <row r="12" spans="1:10" ht="34.5" customHeight="1" thickBot="1" x14ac:dyDescent="0.35">
      <c r="A12" s="312" t="s">
        <v>235</v>
      </c>
      <c r="B12" s="709" t="s">
        <v>693</v>
      </c>
      <c r="C12" s="709"/>
      <c r="D12" s="709"/>
      <c r="E12" s="709"/>
      <c r="F12" s="709"/>
      <c r="G12" s="709"/>
      <c r="H12" s="710"/>
    </row>
    <row r="13" spans="1:10" ht="42.75" customHeight="1" x14ac:dyDescent="0.3">
      <c r="A13" s="313"/>
      <c r="B13" s="314" t="s">
        <v>188</v>
      </c>
      <c r="C13" s="711" t="s">
        <v>991</v>
      </c>
      <c r="D13" s="712"/>
      <c r="E13" s="712"/>
      <c r="F13" s="712"/>
      <c r="G13" s="712"/>
      <c r="H13" s="713"/>
    </row>
    <row r="14" spans="1:10" ht="57.75" customHeight="1" x14ac:dyDescent="0.3">
      <c r="A14" s="313"/>
      <c r="B14" s="315" t="s">
        <v>189</v>
      </c>
      <c r="C14" s="714" t="s">
        <v>1000</v>
      </c>
      <c r="D14" s="714"/>
      <c r="E14" s="714"/>
      <c r="F14" s="714"/>
      <c r="G14" s="714"/>
      <c r="H14" s="715"/>
    </row>
    <row r="15" spans="1:10" ht="41.25" customHeight="1" x14ac:dyDescent="0.3">
      <c r="A15" s="313"/>
      <c r="B15" s="315" t="s">
        <v>651</v>
      </c>
      <c r="C15" s="716" t="s">
        <v>992</v>
      </c>
      <c r="D15" s="717"/>
      <c r="E15" s="717"/>
      <c r="F15" s="717"/>
      <c r="G15" s="717"/>
      <c r="H15" s="718"/>
    </row>
    <row r="16" spans="1:10" ht="24" customHeight="1" x14ac:dyDescent="0.3">
      <c r="A16" s="313"/>
      <c r="B16" s="315" t="s">
        <v>191</v>
      </c>
      <c r="C16" s="705" t="s">
        <v>250</v>
      </c>
      <c r="D16" s="705"/>
      <c r="E16" s="705"/>
      <c r="F16" s="705"/>
      <c r="G16" s="705"/>
      <c r="H16" s="706"/>
    </row>
    <row r="17" spans="1:11" ht="19.5" customHeight="1" x14ac:dyDescent="0.3">
      <c r="A17" s="302"/>
      <c r="B17" s="316" t="s">
        <v>192</v>
      </c>
      <c r="C17" s="672" t="s">
        <v>391</v>
      </c>
      <c r="D17" s="672"/>
      <c r="E17" s="672"/>
      <c r="F17" s="672"/>
      <c r="G17" s="672"/>
      <c r="H17" s="673"/>
      <c r="K17" s="232" t="s">
        <v>35</v>
      </c>
    </row>
    <row r="18" spans="1:11" ht="39.75" customHeight="1" x14ac:dyDescent="0.3">
      <c r="A18" s="302"/>
      <c r="B18" s="317" t="s">
        <v>652</v>
      </c>
      <c r="C18" s="699" t="s">
        <v>994</v>
      </c>
      <c r="D18" s="700"/>
      <c r="E18" s="700"/>
      <c r="F18" s="700"/>
      <c r="G18" s="700"/>
      <c r="H18" s="701"/>
    </row>
    <row r="19" spans="1:11" ht="52.5" customHeight="1" thickBot="1" x14ac:dyDescent="0.35">
      <c r="A19" s="302"/>
      <c r="B19" s="318" t="s">
        <v>993</v>
      </c>
      <c r="C19" s="674" t="s">
        <v>996</v>
      </c>
      <c r="D19" s="675"/>
      <c r="E19" s="675"/>
      <c r="F19" s="675"/>
      <c r="G19" s="675"/>
      <c r="H19" s="676"/>
    </row>
    <row r="20" spans="1:11" ht="16" thickBot="1" x14ac:dyDescent="0.4">
      <c r="A20" s="302"/>
      <c r="B20" s="304"/>
      <c r="C20" s="319"/>
      <c r="D20" s="303"/>
      <c r="E20" s="303"/>
      <c r="F20" s="303"/>
      <c r="G20" s="303"/>
      <c r="H20" s="303"/>
    </row>
    <row r="21" spans="1:11" s="235" customFormat="1" ht="82.5" customHeight="1" thickBot="1" x14ac:dyDescent="0.3">
      <c r="A21" s="320" t="s">
        <v>236</v>
      </c>
      <c r="B21" s="677" t="s">
        <v>1028</v>
      </c>
      <c r="C21" s="678"/>
      <c r="D21" s="678"/>
      <c r="E21" s="678"/>
      <c r="F21" s="678"/>
      <c r="G21" s="678"/>
      <c r="H21" s="679"/>
    </row>
    <row r="22" spans="1:11" s="235" customFormat="1" ht="41.25" customHeight="1" thickBot="1" x14ac:dyDescent="0.3">
      <c r="A22" s="321"/>
      <c r="B22" s="322" t="s">
        <v>188</v>
      </c>
      <c r="C22" s="702" t="s">
        <v>995</v>
      </c>
      <c r="D22" s="702"/>
      <c r="E22" s="702"/>
      <c r="F22" s="702"/>
      <c r="G22" s="702"/>
      <c r="H22" s="703"/>
    </row>
    <row r="23" spans="1:11" s="235" customFormat="1" ht="18.75" customHeight="1" thickBot="1" x14ac:dyDescent="0.3">
      <c r="A23" s="323"/>
      <c r="B23" s="310"/>
      <c r="C23" s="324"/>
      <c r="D23" s="325"/>
      <c r="E23" s="325"/>
      <c r="F23" s="325"/>
      <c r="G23" s="325"/>
      <c r="H23" s="326"/>
    </row>
    <row r="24" spans="1:11" s="235" customFormat="1" ht="92.25" customHeight="1" thickBot="1" x14ac:dyDescent="0.3">
      <c r="A24" s="327" t="s">
        <v>237</v>
      </c>
      <c r="B24" s="680" t="s">
        <v>694</v>
      </c>
      <c r="C24" s="680"/>
      <c r="D24" s="680"/>
      <c r="E24" s="680"/>
      <c r="F24" s="680"/>
      <c r="G24" s="680"/>
      <c r="H24" s="681"/>
    </row>
    <row r="25" spans="1:11" ht="94.5" customHeight="1" x14ac:dyDescent="0.3">
      <c r="A25" s="302"/>
      <c r="B25" s="328" t="s">
        <v>188</v>
      </c>
      <c r="C25" s="685" t="s">
        <v>690</v>
      </c>
      <c r="D25" s="686"/>
      <c r="E25" s="686"/>
      <c r="F25" s="686"/>
      <c r="G25" s="686"/>
      <c r="H25" s="687"/>
    </row>
    <row r="26" spans="1:11" ht="96.75" customHeight="1" x14ac:dyDescent="0.3">
      <c r="A26" s="302"/>
      <c r="B26" s="329" t="s">
        <v>189</v>
      </c>
      <c r="C26" s="688" t="s">
        <v>688</v>
      </c>
      <c r="D26" s="689"/>
      <c r="E26" s="689"/>
      <c r="F26" s="689"/>
      <c r="G26" s="689"/>
      <c r="H26" s="690"/>
    </row>
    <row r="27" spans="1:11" ht="44.25" customHeight="1" thickBot="1" x14ac:dyDescent="0.35">
      <c r="A27" s="302"/>
      <c r="B27" s="330" t="s">
        <v>190</v>
      </c>
      <c r="C27" s="695" t="s">
        <v>687</v>
      </c>
      <c r="D27" s="695"/>
      <c r="E27" s="695"/>
      <c r="F27" s="695"/>
      <c r="G27" s="695"/>
      <c r="H27" s="696"/>
    </row>
    <row r="28" spans="1:11" ht="22.5" customHeight="1" thickBot="1" x14ac:dyDescent="0.35">
      <c r="A28" s="302"/>
      <c r="B28" s="331"/>
      <c r="C28" s="310"/>
      <c r="D28" s="310"/>
      <c r="E28" s="310"/>
      <c r="F28" s="310"/>
      <c r="G28" s="310"/>
      <c r="H28" s="310"/>
    </row>
    <row r="29" spans="1:11" ht="70.5" customHeight="1" thickBot="1" x14ac:dyDescent="0.35">
      <c r="A29" s="332" t="s">
        <v>266</v>
      </c>
      <c r="B29" s="697" t="s">
        <v>990</v>
      </c>
      <c r="C29" s="697"/>
      <c r="D29" s="697"/>
      <c r="E29" s="697"/>
      <c r="F29" s="697"/>
      <c r="G29" s="697"/>
      <c r="H29" s="698"/>
    </row>
    <row r="30" spans="1:11" ht="23.25" customHeight="1" thickBot="1" x14ac:dyDescent="0.35">
      <c r="A30" s="333"/>
      <c r="B30" s="310"/>
      <c r="C30" s="310"/>
      <c r="D30" s="310"/>
      <c r="E30" s="310"/>
      <c r="F30" s="310"/>
      <c r="G30" s="310"/>
      <c r="H30" s="310"/>
    </row>
    <row r="31" spans="1:11" ht="57.75" customHeight="1" thickBot="1" x14ac:dyDescent="0.35">
      <c r="A31" s="334" t="s">
        <v>251</v>
      </c>
      <c r="B31" s="693" t="s">
        <v>997</v>
      </c>
      <c r="C31" s="693"/>
      <c r="D31" s="693"/>
      <c r="E31" s="693"/>
      <c r="F31" s="693"/>
      <c r="G31" s="693"/>
      <c r="H31" s="694"/>
    </row>
    <row r="32" spans="1:11" ht="16" thickBot="1" x14ac:dyDescent="0.4">
      <c r="A32" s="302"/>
      <c r="B32" s="304"/>
      <c r="C32" s="319"/>
      <c r="D32" s="303"/>
      <c r="E32" s="303"/>
      <c r="F32" s="303"/>
      <c r="G32" s="303"/>
      <c r="H32" s="303"/>
    </row>
    <row r="33" spans="1:8" ht="171.75" customHeight="1" thickBot="1" x14ac:dyDescent="0.35">
      <c r="A33" s="335" t="s">
        <v>267</v>
      </c>
      <c r="B33" s="691" t="s">
        <v>1032</v>
      </c>
      <c r="C33" s="691"/>
      <c r="D33" s="691"/>
      <c r="E33" s="691"/>
      <c r="F33" s="691"/>
      <c r="G33" s="691"/>
      <c r="H33" s="692"/>
    </row>
    <row r="34" spans="1:8" ht="11.25" customHeight="1" thickBot="1" x14ac:dyDescent="0.4">
      <c r="A34" s="302"/>
      <c r="B34" s="336"/>
      <c r="C34" s="336"/>
      <c r="D34" s="336"/>
      <c r="E34" s="336"/>
      <c r="F34" s="336"/>
      <c r="G34" s="336"/>
      <c r="H34" s="336"/>
    </row>
    <row r="35" spans="1:8" ht="191.25" customHeight="1" thickBot="1" x14ac:dyDescent="0.35">
      <c r="A35" s="337" t="s">
        <v>315</v>
      </c>
      <c r="B35" s="683" t="s">
        <v>1033</v>
      </c>
      <c r="C35" s="683"/>
      <c r="D35" s="683"/>
      <c r="E35" s="683"/>
      <c r="F35" s="683"/>
      <c r="G35" s="683"/>
      <c r="H35" s="684"/>
    </row>
    <row r="36" spans="1:8" ht="9.75" customHeight="1" x14ac:dyDescent="0.35">
      <c r="A36" s="302"/>
      <c r="B36" s="336"/>
      <c r="C36" s="336"/>
      <c r="D36" s="336"/>
      <c r="E36" s="336"/>
      <c r="F36" s="336"/>
      <c r="G36" s="336"/>
      <c r="H36" s="336"/>
    </row>
    <row r="37" spans="1:8" ht="21" customHeight="1" x14ac:dyDescent="0.35">
      <c r="A37" s="302"/>
      <c r="B37" s="682" t="s">
        <v>314</v>
      </c>
      <c r="C37" s="682"/>
      <c r="D37" s="682"/>
      <c r="E37" s="682"/>
      <c r="F37" s="682"/>
      <c r="G37" s="682"/>
      <c r="H37" s="682"/>
    </row>
    <row r="38" spans="1:8" ht="9.75" customHeight="1" x14ac:dyDescent="0.35">
      <c r="A38" s="302"/>
      <c r="B38" s="336"/>
      <c r="C38" s="336"/>
      <c r="D38" s="336"/>
      <c r="E38" s="336"/>
      <c r="F38" s="336"/>
      <c r="G38" s="336"/>
      <c r="H38" s="336"/>
    </row>
    <row r="39" spans="1:8" ht="17.5" x14ac:dyDescent="0.35">
      <c r="A39" s="302"/>
      <c r="B39" s="682" t="s">
        <v>1034</v>
      </c>
      <c r="C39" s="682"/>
      <c r="D39" s="682"/>
      <c r="E39" s="682"/>
      <c r="F39" s="682"/>
      <c r="G39" s="682"/>
      <c r="H39" s="682"/>
    </row>
  </sheetData>
  <sheetProtection algorithmName="SHA-512" hashValue="BYSxwvgIwNVrmaGFe3y9xRBKvGfT5PXSsdKcPDjLKzVGsZH/MWU6KOGOHVlynr5zE/dgsbTCIaYROzP+fug3Tw==" saltValue="33fCg9acoUZ80HMyPFaOsw==" spinCount="100000" sheet="1" objects="1" scenarios="1"/>
  <mergeCells count="26">
    <mergeCell ref="A3:H3"/>
    <mergeCell ref="C16:H16"/>
    <mergeCell ref="B10:H10"/>
    <mergeCell ref="B12:H12"/>
    <mergeCell ref="C13:H13"/>
    <mergeCell ref="C14:H14"/>
    <mergeCell ref="C15:H15"/>
    <mergeCell ref="C5:D5"/>
    <mergeCell ref="C6:D6"/>
    <mergeCell ref="C7:D7"/>
    <mergeCell ref="C8:D8"/>
    <mergeCell ref="C17:H17"/>
    <mergeCell ref="C19:H19"/>
    <mergeCell ref="B21:H21"/>
    <mergeCell ref="B24:H24"/>
    <mergeCell ref="B39:H39"/>
    <mergeCell ref="B35:H35"/>
    <mergeCell ref="C25:H25"/>
    <mergeCell ref="C26:H26"/>
    <mergeCell ref="B33:H33"/>
    <mergeCell ref="B31:H31"/>
    <mergeCell ref="C27:H27"/>
    <mergeCell ref="B29:H29"/>
    <mergeCell ref="B37:H37"/>
    <mergeCell ref="C18:H18"/>
    <mergeCell ref="C22:H22"/>
  </mergeCells>
  <phoneticPr fontId="0" type="noConversion"/>
  <pageMargins left="0.97" right="0.75" top="0.4" bottom="2.02" header="0.5" footer="0.5"/>
  <pageSetup scale="69" fitToHeight="2" orientation="portrait" r:id="rId1"/>
  <headerFooter alignWithMargins="0">
    <oddFooter>&amp;L&amp;F&amp;R&amp;D&amp;C&amp;"Calibri"&amp;11&amp;K000000
Page &amp;P of &amp;N    _x000D_&amp;1#&amp;"Arial"&amp;6&amp;K626469Internal</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Y48"/>
  <sheetViews>
    <sheetView showGridLines="0" showRowColHeaders="0" topLeftCell="A35" workbookViewId="0">
      <selection activeCell="E28" sqref="E28"/>
    </sheetView>
  </sheetViews>
  <sheetFormatPr defaultColWidth="9.08984375" defaultRowHeight="12.5" x14ac:dyDescent="0.25"/>
  <cols>
    <col min="1" max="1" width="2.36328125" style="102" customWidth="1"/>
    <col min="2" max="2" width="7" style="102" customWidth="1"/>
    <col min="3" max="3" width="7.6328125" style="102" customWidth="1"/>
    <col min="4" max="4" width="9.08984375" style="102"/>
    <col min="5" max="5" width="8.453125" style="102" customWidth="1"/>
    <col min="6" max="7" width="9.08984375" style="102"/>
    <col min="8" max="8" width="10.08984375" style="102" customWidth="1"/>
    <col min="9" max="10" width="9.08984375" style="102"/>
    <col min="11" max="11" width="5.6328125" style="102" customWidth="1"/>
    <col min="12" max="12" width="5.90625" style="102" customWidth="1"/>
    <col min="13" max="13" width="12.453125" style="102" customWidth="1"/>
    <col min="14" max="14" width="11.453125" style="102" bestFit="1" customWidth="1"/>
    <col min="15" max="15" width="5.90625" style="102" customWidth="1"/>
    <col min="16" max="16" width="2.453125" style="102" customWidth="1"/>
    <col min="17" max="19" width="9.08984375" style="102"/>
    <col min="20" max="137" width="0" style="102" hidden="1" customWidth="1"/>
    <col min="138" max="16384" width="9.08984375" style="102"/>
  </cols>
  <sheetData>
    <row r="1" spans="2:25" ht="23.25" customHeight="1" x14ac:dyDescent="0.65">
      <c r="B1" s="737" t="s">
        <v>1036</v>
      </c>
      <c r="C1" s="737"/>
      <c r="D1" s="737"/>
      <c r="E1" s="737"/>
      <c r="F1" s="737"/>
      <c r="G1" s="737"/>
      <c r="H1" s="737"/>
      <c r="I1" s="737"/>
      <c r="J1" s="737"/>
      <c r="K1" s="737"/>
      <c r="L1" s="737"/>
      <c r="M1" s="737"/>
      <c r="N1" s="737"/>
      <c r="O1" s="338"/>
      <c r="P1" s="338"/>
    </row>
    <row r="2" spans="2:25" ht="18.5" x14ac:dyDescent="0.45">
      <c r="B2" s="339" t="s">
        <v>35</v>
      </c>
      <c r="C2" s="339"/>
      <c r="D2" s="339"/>
      <c r="E2" s="339"/>
      <c r="F2" s="339"/>
      <c r="G2" s="339"/>
      <c r="H2" s="339"/>
      <c r="I2" s="338"/>
      <c r="J2" s="338"/>
      <c r="K2" s="338"/>
      <c r="L2" s="338"/>
      <c r="M2" s="340" t="s">
        <v>193</v>
      </c>
      <c r="N2" s="341"/>
      <c r="O2" s="338"/>
      <c r="P2" s="338"/>
    </row>
    <row r="3" spans="2:25" ht="15.5" x14ac:dyDescent="0.35">
      <c r="B3" s="727" t="s">
        <v>194</v>
      </c>
      <c r="C3" s="727"/>
      <c r="D3" s="727"/>
      <c r="E3" s="727"/>
      <c r="F3" s="723"/>
      <c r="G3" s="724"/>
      <c r="H3" s="724"/>
      <c r="I3" s="724"/>
      <c r="J3" s="724"/>
      <c r="K3" s="724"/>
      <c r="L3" s="725"/>
      <c r="M3" s="338"/>
      <c r="N3" s="338"/>
      <c r="O3" s="338"/>
      <c r="P3" s="338"/>
    </row>
    <row r="4" spans="2:25" ht="15.5" x14ac:dyDescent="0.35">
      <c r="B4" s="727" t="s">
        <v>195</v>
      </c>
      <c r="C4" s="727"/>
      <c r="D4" s="727"/>
      <c r="E4" s="727"/>
      <c r="F4" s="723"/>
      <c r="G4" s="725"/>
      <c r="H4" s="342" t="s">
        <v>199</v>
      </c>
      <c r="I4" s="343"/>
      <c r="J4" s="723"/>
      <c r="K4" s="724"/>
      <c r="L4" s="725"/>
      <c r="M4" s="338"/>
      <c r="N4" s="338"/>
      <c r="O4" s="338"/>
      <c r="P4" s="338"/>
      <c r="Y4" s="102" t="s">
        <v>312</v>
      </c>
    </row>
    <row r="5" spans="2:25" ht="15.5" x14ac:dyDescent="0.35">
      <c r="B5" s="727" t="s">
        <v>196</v>
      </c>
      <c r="C5" s="727"/>
      <c r="D5" s="727"/>
      <c r="E5" s="727"/>
      <c r="F5" s="723"/>
      <c r="G5" s="724"/>
      <c r="H5" s="724"/>
      <c r="I5" s="724"/>
      <c r="J5" s="724"/>
      <c r="K5" s="724"/>
      <c r="L5" s="725"/>
      <c r="M5" s="338"/>
      <c r="N5" s="338"/>
      <c r="O5" s="338"/>
      <c r="P5" s="338"/>
    </row>
    <row r="6" spans="2:25" ht="15.5" x14ac:dyDescent="0.35">
      <c r="B6" s="727" t="s">
        <v>624</v>
      </c>
      <c r="C6" s="727"/>
      <c r="D6" s="727"/>
      <c r="E6" s="727"/>
      <c r="F6" s="723"/>
      <c r="G6" s="724"/>
      <c r="H6" s="724"/>
      <c r="I6" s="724"/>
      <c r="J6" s="724"/>
      <c r="K6" s="724"/>
      <c r="L6" s="725"/>
      <c r="M6" s="338"/>
      <c r="N6" s="338"/>
      <c r="O6" s="338"/>
      <c r="P6" s="338"/>
    </row>
    <row r="7" spans="2:25" ht="15.5" x14ac:dyDescent="0.35">
      <c r="B7" s="727" t="s">
        <v>200</v>
      </c>
      <c r="C7" s="727"/>
      <c r="D7" s="727"/>
      <c r="E7" s="727"/>
      <c r="F7" s="723"/>
      <c r="G7" s="724"/>
      <c r="H7" s="725"/>
      <c r="I7" s="732" t="s">
        <v>625</v>
      </c>
      <c r="J7" s="733"/>
      <c r="K7" s="723"/>
      <c r="L7" s="725"/>
      <c r="M7" s="338"/>
      <c r="N7" s="338"/>
      <c r="O7" s="338"/>
      <c r="P7" s="338"/>
    </row>
    <row r="8" spans="2:25" ht="15.5" x14ac:dyDescent="0.35">
      <c r="B8" s="727" t="s">
        <v>197</v>
      </c>
      <c r="C8" s="727"/>
      <c r="D8" s="727"/>
      <c r="E8" s="727"/>
      <c r="F8" s="723"/>
      <c r="G8" s="724"/>
      <c r="H8" s="724"/>
      <c r="I8" s="724"/>
      <c r="J8" s="724"/>
      <c r="K8" s="724"/>
      <c r="L8" s="725"/>
      <c r="M8" s="338"/>
      <c r="N8" s="338"/>
      <c r="O8" s="338"/>
      <c r="P8" s="338"/>
    </row>
    <row r="9" spans="2:25" ht="13.5" thickBot="1" x14ac:dyDescent="0.35">
      <c r="B9" s="338"/>
      <c r="C9" s="338"/>
      <c r="D9" s="338"/>
      <c r="E9" s="338"/>
      <c r="F9" s="338"/>
      <c r="G9" s="338"/>
      <c r="H9" s="338"/>
      <c r="I9" s="338"/>
      <c r="J9" s="338"/>
      <c r="K9" s="338"/>
      <c r="L9" s="338"/>
      <c r="M9" s="338"/>
      <c r="N9" s="338"/>
      <c r="O9" s="338"/>
      <c r="P9" s="338"/>
    </row>
    <row r="10" spans="2:25" ht="19" thickBot="1" x14ac:dyDescent="0.5">
      <c r="B10" s="744" t="s">
        <v>286</v>
      </c>
      <c r="C10" s="745"/>
      <c r="D10" s="745"/>
      <c r="E10" s="745"/>
      <c r="F10" s="745"/>
      <c r="G10" s="745"/>
      <c r="H10" s="745"/>
      <c r="I10" s="745"/>
      <c r="J10" s="745"/>
      <c r="K10" s="745"/>
      <c r="L10" s="745"/>
      <c r="M10" s="745"/>
      <c r="N10" s="745"/>
      <c r="O10" s="745"/>
      <c r="P10" s="746"/>
    </row>
    <row r="11" spans="2:25" ht="13" x14ac:dyDescent="0.3">
      <c r="B11" s="344"/>
      <c r="C11" s="345"/>
      <c r="D11" s="345"/>
      <c r="E11" s="345"/>
      <c r="F11" s="345"/>
      <c r="G11" s="345"/>
      <c r="H11" s="345"/>
      <c r="I11" s="345"/>
      <c r="J11" s="346"/>
      <c r="K11" s="346"/>
      <c r="L11" s="346"/>
      <c r="M11" s="346"/>
      <c r="N11" s="346"/>
      <c r="O11" s="346"/>
      <c r="P11" s="347"/>
    </row>
    <row r="12" spans="2:25" ht="12.75" customHeight="1" x14ac:dyDescent="0.3">
      <c r="B12" s="344"/>
      <c r="C12" s="734" t="str">
        <f>IF(F16="x",IF(D17=0,'AccuSine Sizing Tool'!N7,IF(D18=0,'AccuSine Sizing Tool'!N7,"")),"")</f>
        <v/>
      </c>
      <c r="D12" s="734"/>
      <c r="E12" s="734"/>
      <c r="F12" s="741" t="str">
        <f>IF('Electrical System 1-line'!F16="x",(IF('Electrical System 1-line'!J16="","","Select only one Source!")),"")</f>
        <v/>
      </c>
      <c r="G12" s="741"/>
      <c r="H12" s="741"/>
      <c r="I12" s="345"/>
      <c r="J12" s="346"/>
      <c r="K12" s="726" t="str">
        <f>IF(J16="x",(IF(N17=0,'AccuSine Sizing Tool'!N8,IF(N18=0,'AccuSine Sizing Tool'!N8,IF(N19=0,'AccuSine Sizing Tool'!N8,IF(N20=0,'AccuSine Sizing Tool'!N8,""))))),"")</f>
        <v/>
      </c>
      <c r="L12" s="726"/>
      <c r="M12" s="726"/>
      <c r="N12" s="726"/>
      <c r="O12" s="346"/>
      <c r="P12" s="347"/>
    </row>
    <row r="13" spans="2:25" ht="12.75" customHeight="1" x14ac:dyDescent="0.3">
      <c r="B13" s="348"/>
      <c r="C13" s="734"/>
      <c r="D13" s="734"/>
      <c r="E13" s="734"/>
      <c r="F13" s="742"/>
      <c r="G13" s="742"/>
      <c r="H13" s="742"/>
      <c r="I13" s="349"/>
      <c r="J13" s="349"/>
      <c r="K13" s="726"/>
      <c r="L13" s="726"/>
      <c r="M13" s="726"/>
      <c r="N13" s="726"/>
      <c r="O13" s="349"/>
      <c r="P13" s="350"/>
    </row>
    <row r="14" spans="2:25" ht="13" x14ac:dyDescent="0.3">
      <c r="B14" s="348"/>
      <c r="C14" s="734"/>
      <c r="D14" s="734"/>
      <c r="E14" s="734"/>
      <c r="F14" s="743" t="s">
        <v>617</v>
      </c>
      <c r="G14" s="743"/>
      <c r="H14" s="351" t="str">
        <f>IF('Electrical System 1-line'!F16="x","Utility",IF('Electrical System 1-line'!J16="x","Generator",""))</f>
        <v/>
      </c>
      <c r="I14" s="349"/>
      <c r="J14" s="349"/>
      <c r="K14" s="726"/>
      <c r="L14" s="726"/>
      <c r="M14" s="726"/>
      <c r="N14" s="726"/>
      <c r="O14" s="349"/>
      <c r="P14" s="350"/>
    </row>
    <row r="15" spans="2:25" ht="13.5" thickBot="1" x14ac:dyDescent="0.35">
      <c r="B15" s="348"/>
      <c r="C15" s="735"/>
      <c r="D15" s="735"/>
      <c r="E15" s="735"/>
      <c r="F15" s="349"/>
      <c r="G15" s="349"/>
      <c r="H15" s="349"/>
      <c r="I15" s="349"/>
      <c r="J15" s="349"/>
      <c r="K15" s="349"/>
      <c r="L15" s="349"/>
      <c r="M15" s="349"/>
      <c r="N15" s="349"/>
      <c r="O15" s="349"/>
      <c r="P15" s="350"/>
    </row>
    <row r="16" spans="2:25" ht="13.5" thickBot="1" x14ac:dyDescent="0.35">
      <c r="B16" s="348"/>
      <c r="C16" s="738" t="s">
        <v>618</v>
      </c>
      <c r="D16" s="739"/>
      <c r="E16" s="740"/>
      <c r="F16" s="352"/>
      <c r="G16" s="349"/>
      <c r="H16" s="349"/>
      <c r="I16" s="349"/>
      <c r="J16" s="353"/>
      <c r="K16" s="740" t="s">
        <v>619</v>
      </c>
      <c r="L16" s="747"/>
      <c r="M16" s="747"/>
      <c r="N16" s="747"/>
      <c r="O16" s="748"/>
      <c r="P16" s="350"/>
    </row>
    <row r="17" spans="2:16" ht="13" x14ac:dyDescent="0.3">
      <c r="B17" s="348"/>
      <c r="C17" s="354" t="s">
        <v>74</v>
      </c>
      <c r="D17" s="355"/>
      <c r="E17" s="356" t="s">
        <v>223</v>
      </c>
      <c r="F17" s="349"/>
      <c r="G17" s="349"/>
      <c r="H17" s="349"/>
      <c r="I17" s="349"/>
      <c r="J17" s="349"/>
      <c r="K17" s="749" t="s">
        <v>83</v>
      </c>
      <c r="L17" s="750"/>
      <c r="M17" s="751"/>
      <c r="N17" s="357"/>
      <c r="O17" s="356" t="s">
        <v>226</v>
      </c>
      <c r="P17" s="350"/>
    </row>
    <row r="18" spans="2:16" ht="13" x14ac:dyDescent="0.3">
      <c r="B18" s="348"/>
      <c r="C18" s="358" t="s">
        <v>219</v>
      </c>
      <c r="D18" s="359"/>
      <c r="E18" s="360" t="s">
        <v>225</v>
      </c>
      <c r="F18" s="349"/>
      <c r="G18" s="349"/>
      <c r="H18" s="349"/>
      <c r="I18" s="349"/>
      <c r="J18" s="349"/>
      <c r="K18" s="752" t="s">
        <v>74</v>
      </c>
      <c r="L18" s="753"/>
      <c r="M18" s="754"/>
      <c r="N18" s="361"/>
      <c r="O18" s="360" t="s">
        <v>223</v>
      </c>
      <c r="P18" s="350"/>
    </row>
    <row r="19" spans="2:16" ht="13" x14ac:dyDescent="0.3">
      <c r="B19" s="755"/>
      <c r="C19" s="756"/>
      <c r="D19" s="362"/>
      <c r="E19" s="349"/>
      <c r="F19" s="349"/>
      <c r="G19" s="349"/>
      <c r="H19" s="349"/>
      <c r="I19" s="349"/>
      <c r="J19" s="349"/>
      <c r="K19" s="752" t="s">
        <v>233</v>
      </c>
      <c r="L19" s="753"/>
      <c r="M19" s="754"/>
      <c r="N19" s="363"/>
      <c r="O19" s="360" t="s">
        <v>232</v>
      </c>
      <c r="P19" s="350"/>
    </row>
    <row r="20" spans="2:16" ht="13" x14ac:dyDescent="0.3">
      <c r="B20" s="348"/>
      <c r="C20" s="349"/>
      <c r="D20" s="349"/>
      <c r="E20" s="349"/>
      <c r="F20" s="349" t="s">
        <v>227</v>
      </c>
      <c r="G20" s="349"/>
      <c r="H20" s="349"/>
      <c r="I20" s="349"/>
      <c r="J20" s="349"/>
      <c r="K20" s="752" t="s">
        <v>1035</v>
      </c>
      <c r="L20" s="753"/>
      <c r="M20" s="754"/>
      <c r="N20" s="364"/>
      <c r="O20" s="349"/>
      <c r="P20" s="350"/>
    </row>
    <row r="21" spans="2:16" ht="12.75" customHeight="1" x14ac:dyDescent="0.3">
      <c r="B21" s="348"/>
      <c r="C21" s="349"/>
      <c r="D21" s="349"/>
      <c r="E21" s="349"/>
      <c r="F21" s="349"/>
      <c r="G21" s="349"/>
      <c r="H21" s="349"/>
      <c r="I21" s="349"/>
      <c r="J21" s="349"/>
      <c r="K21" s="726" t="str">
        <f>IF('AccuSine Sizing Tool'!E11="Generator",IF('Electrical System 1-line'!J16="",'AccuSine Sizing Tool'!N10,IF(K12="","",'AccuSine Sizing Tool'!N9)),"")</f>
        <v/>
      </c>
      <c r="L21" s="726"/>
      <c r="M21" s="726"/>
      <c r="N21" s="726"/>
      <c r="O21" s="726"/>
      <c r="P21" s="350"/>
    </row>
    <row r="22" spans="2:16" ht="13" x14ac:dyDescent="0.3">
      <c r="B22" s="348"/>
      <c r="C22" s="349"/>
      <c r="D22" s="349"/>
      <c r="E22" s="349"/>
      <c r="F22" s="349"/>
      <c r="G22" s="349"/>
      <c r="H22" s="349"/>
      <c r="I22" s="349"/>
      <c r="J22" s="349"/>
      <c r="K22" s="726"/>
      <c r="L22" s="726"/>
      <c r="M22" s="726"/>
      <c r="N22" s="726"/>
      <c r="O22" s="726"/>
      <c r="P22" s="350"/>
    </row>
    <row r="23" spans="2:16" ht="13" x14ac:dyDescent="0.3">
      <c r="B23" s="348"/>
      <c r="C23" s="349"/>
      <c r="D23" s="349"/>
      <c r="E23" s="349"/>
      <c r="F23" s="349"/>
      <c r="G23" s="349"/>
      <c r="H23" s="349"/>
      <c r="I23" s="349"/>
      <c r="J23" s="349"/>
      <c r="K23" s="726"/>
      <c r="L23" s="726"/>
      <c r="M23" s="726"/>
      <c r="N23" s="726"/>
      <c r="O23" s="726"/>
      <c r="P23" s="350"/>
    </row>
    <row r="24" spans="2:16" ht="13" x14ac:dyDescent="0.3">
      <c r="B24" s="348"/>
      <c r="C24" s="349"/>
      <c r="D24" s="349"/>
      <c r="E24" s="349"/>
      <c r="F24" s="349"/>
      <c r="G24" s="349"/>
      <c r="H24" s="349"/>
      <c r="I24" s="349"/>
      <c r="J24" s="349"/>
      <c r="K24" s="349"/>
      <c r="L24" s="349"/>
      <c r="M24" s="349"/>
      <c r="N24" s="349"/>
      <c r="O24" s="349"/>
      <c r="P24" s="350"/>
    </row>
    <row r="25" spans="2:16" ht="13" x14ac:dyDescent="0.3">
      <c r="B25" s="348"/>
      <c r="C25" s="736" t="s">
        <v>109</v>
      </c>
      <c r="D25" s="736"/>
      <c r="E25" s="736"/>
      <c r="F25" s="736"/>
      <c r="G25" s="349"/>
      <c r="H25" s="349"/>
      <c r="I25" s="349"/>
      <c r="J25" s="349"/>
      <c r="K25" s="349"/>
      <c r="L25" s="349"/>
      <c r="M25" s="349"/>
      <c r="N25" s="349"/>
      <c r="O25" s="349"/>
      <c r="P25" s="350"/>
    </row>
    <row r="26" spans="2:16" ht="13" x14ac:dyDescent="0.3">
      <c r="B26" s="348"/>
      <c r="C26" s="728" t="s">
        <v>75</v>
      </c>
      <c r="D26" s="728"/>
      <c r="E26" s="641"/>
      <c r="F26" s="366" t="s">
        <v>224</v>
      </c>
      <c r="G26" s="349"/>
      <c r="H26" s="349"/>
      <c r="I26" s="736" t="s">
        <v>301</v>
      </c>
      <c r="J26" s="736"/>
      <c r="K26" s="728" t="str">
        <f>IF('AccuSine Sizing Tool'!E11="","None chosen",'AccuSine Sizing Tool'!E11)</f>
        <v>Utility</v>
      </c>
      <c r="L26" s="728"/>
      <c r="M26" s="728"/>
      <c r="N26" s="728"/>
      <c r="O26" s="728"/>
      <c r="P26" s="350"/>
    </row>
    <row r="27" spans="2:16" ht="13" x14ac:dyDescent="0.3">
      <c r="B27" s="348"/>
      <c r="C27" s="728" t="s">
        <v>110</v>
      </c>
      <c r="D27" s="728"/>
      <c r="E27" s="641"/>
      <c r="F27" s="366" t="s">
        <v>223</v>
      </c>
      <c r="G27" s="349"/>
      <c r="H27" s="349"/>
      <c r="I27" s="349"/>
      <c r="J27" s="349"/>
      <c r="K27" s="349"/>
      <c r="L27" s="349"/>
      <c r="M27" s="349"/>
      <c r="N27" s="349"/>
      <c r="O27" s="349"/>
      <c r="P27" s="350"/>
    </row>
    <row r="28" spans="2:16" ht="13" x14ac:dyDescent="0.3">
      <c r="B28" s="348"/>
      <c r="C28" s="728" t="s">
        <v>220</v>
      </c>
      <c r="D28" s="728"/>
      <c r="E28" s="642"/>
      <c r="F28" s="366" t="s">
        <v>222</v>
      </c>
      <c r="G28" s="349"/>
      <c r="H28" s="349"/>
      <c r="I28" s="349"/>
      <c r="J28" s="349"/>
      <c r="K28" s="349"/>
      <c r="L28" s="349"/>
      <c r="M28" s="349"/>
      <c r="N28" s="349"/>
      <c r="O28" s="349"/>
      <c r="P28" s="350"/>
    </row>
    <row r="29" spans="2:16" ht="13" x14ac:dyDescent="0.3">
      <c r="B29" s="348"/>
      <c r="C29" s="349"/>
      <c r="D29" s="349"/>
      <c r="E29" s="349"/>
      <c r="F29" s="349"/>
      <c r="G29" s="349"/>
      <c r="H29" s="349"/>
      <c r="I29" s="349"/>
      <c r="J29" s="349"/>
      <c r="K29" s="349"/>
      <c r="L29" s="349"/>
      <c r="M29" s="349"/>
      <c r="N29" s="349"/>
      <c r="O29" s="349"/>
      <c r="P29" s="350"/>
    </row>
    <row r="30" spans="2:16" ht="13" x14ac:dyDescent="0.3">
      <c r="B30" s="348"/>
      <c r="C30" s="349"/>
      <c r="D30" s="349"/>
      <c r="E30" s="349"/>
      <c r="F30" s="349"/>
      <c r="G30" s="349"/>
      <c r="H30" s="349"/>
      <c r="I30" s="349"/>
      <c r="J30" s="349"/>
      <c r="K30" s="349"/>
      <c r="L30" s="349"/>
      <c r="M30" s="349"/>
      <c r="N30" s="349"/>
      <c r="O30" s="349"/>
      <c r="P30" s="350"/>
    </row>
    <row r="31" spans="2:16" ht="13" x14ac:dyDescent="0.3">
      <c r="B31" s="348"/>
      <c r="C31" s="349"/>
      <c r="D31" s="349"/>
      <c r="E31" s="349"/>
      <c r="F31" s="349"/>
      <c r="G31" s="349"/>
      <c r="H31" s="349"/>
      <c r="I31" s="368" t="s">
        <v>231</v>
      </c>
      <c r="J31" s="368"/>
      <c r="K31" s="349"/>
      <c r="L31" s="349"/>
      <c r="M31" s="349"/>
      <c r="N31" s="349"/>
      <c r="O31" s="349"/>
      <c r="P31" s="350"/>
    </row>
    <row r="32" spans="2:16" ht="13" x14ac:dyDescent="0.3">
      <c r="B32" s="348"/>
      <c r="C32" s="349"/>
      <c r="D32" s="349"/>
      <c r="E32" s="349"/>
      <c r="F32" s="349"/>
      <c r="G32" s="349"/>
      <c r="H32" s="349"/>
      <c r="I32" s="349"/>
      <c r="J32" s="349"/>
      <c r="K32" s="349"/>
      <c r="L32" s="349"/>
      <c r="M32" s="349"/>
      <c r="N32" s="349"/>
      <c r="O32" s="349"/>
      <c r="P32" s="350"/>
    </row>
    <row r="33" spans="2:16" ht="13" x14ac:dyDescent="0.3">
      <c r="B33" s="348"/>
      <c r="C33" s="349"/>
      <c r="D33" s="349"/>
      <c r="E33" s="349"/>
      <c r="F33" s="349"/>
      <c r="G33" s="349"/>
      <c r="H33" s="349"/>
      <c r="I33" s="349"/>
      <c r="J33" s="349"/>
      <c r="K33" s="349"/>
      <c r="L33" s="349"/>
      <c r="M33" s="349"/>
      <c r="N33" s="349"/>
      <c r="O33" s="349"/>
      <c r="P33" s="350"/>
    </row>
    <row r="34" spans="2:16" ht="13" x14ac:dyDescent="0.3">
      <c r="B34" s="348"/>
      <c r="C34" s="349"/>
      <c r="D34" s="349"/>
      <c r="E34" s="349"/>
      <c r="F34" s="349"/>
      <c r="G34" s="349"/>
      <c r="H34" s="729" t="s">
        <v>229</v>
      </c>
      <c r="I34" s="730"/>
      <c r="J34" s="730"/>
      <c r="K34" s="731"/>
      <c r="L34" s="349"/>
      <c r="M34" s="349"/>
      <c r="N34" s="349"/>
      <c r="O34" s="349"/>
      <c r="P34" s="350"/>
    </row>
    <row r="35" spans="2:16" ht="13.5" thickBot="1" x14ac:dyDescent="0.35">
      <c r="B35" s="348"/>
      <c r="C35" s="349"/>
      <c r="D35" s="349"/>
      <c r="E35" s="349"/>
      <c r="F35" s="349"/>
      <c r="G35" s="349"/>
      <c r="H35" s="721" t="s">
        <v>75</v>
      </c>
      <c r="I35" s="722"/>
      <c r="J35" s="365"/>
      <c r="K35" s="366" t="s">
        <v>224</v>
      </c>
      <c r="L35" s="349"/>
      <c r="M35" s="349"/>
      <c r="N35" s="349"/>
      <c r="O35" s="349"/>
      <c r="P35" s="350"/>
    </row>
    <row r="36" spans="2:16" ht="13.5" thickBot="1" x14ac:dyDescent="0.35">
      <c r="B36" s="348"/>
      <c r="C36" s="349"/>
      <c r="D36" s="349"/>
      <c r="E36" s="349"/>
      <c r="F36" s="349"/>
      <c r="G36" s="349"/>
      <c r="H36" s="721" t="s">
        <v>110</v>
      </c>
      <c r="I36" s="722"/>
      <c r="J36" s="365"/>
      <c r="K36" s="366" t="s">
        <v>223</v>
      </c>
      <c r="L36" s="349"/>
      <c r="M36" s="349"/>
      <c r="N36" s="349"/>
      <c r="O36" s="349"/>
      <c r="P36" s="350"/>
    </row>
    <row r="37" spans="2:16" ht="13.5" thickBot="1" x14ac:dyDescent="0.35">
      <c r="B37" s="348"/>
      <c r="C37" s="349"/>
      <c r="D37" s="349"/>
      <c r="E37" s="349"/>
      <c r="F37" s="349"/>
      <c r="G37" s="349"/>
      <c r="H37" s="721" t="s">
        <v>220</v>
      </c>
      <c r="I37" s="722"/>
      <c r="J37" s="367"/>
      <c r="K37" s="366" t="s">
        <v>222</v>
      </c>
      <c r="L37" s="349"/>
      <c r="M37" s="349"/>
      <c r="N37" s="349"/>
      <c r="O37" s="349"/>
      <c r="P37" s="350"/>
    </row>
    <row r="38" spans="2:16" ht="13" x14ac:dyDescent="0.3">
      <c r="B38" s="348"/>
      <c r="C38" s="349"/>
      <c r="D38" s="349"/>
      <c r="E38" s="349"/>
      <c r="F38" s="349"/>
      <c r="G38" s="349"/>
      <c r="H38" s="349"/>
      <c r="I38" s="349"/>
      <c r="J38" s="349"/>
      <c r="K38" s="349"/>
      <c r="L38" s="349"/>
      <c r="M38" s="349"/>
      <c r="N38" s="349"/>
      <c r="O38" s="349"/>
      <c r="P38" s="350"/>
    </row>
    <row r="39" spans="2:16" ht="13" x14ac:dyDescent="0.3">
      <c r="B39" s="348"/>
      <c r="C39" s="349"/>
      <c r="D39" s="349"/>
      <c r="E39" s="349"/>
      <c r="F39" s="349"/>
      <c r="G39" s="349"/>
      <c r="H39" s="349"/>
      <c r="I39" s="757" t="s">
        <v>620</v>
      </c>
      <c r="J39" s="757"/>
      <c r="K39" s="757"/>
      <c r="L39" s="757"/>
      <c r="M39" s="757"/>
      <c r="N39" s="349"/>
      <c r="O39" s="349"/>
      <c r="P39" s="350"/>
    </row>
    <row r="40" spans="2:16" ht="13" x14ac:dyDescent="0.3">
      <c r="B40" s="348"/>
      <c r="C40" s="349"/>
      <c r="D40" s="349"/>
      <c r="E40" s="349"/>
      <c r="F40" s="349"/>
      <c r="G40" s="349"/>
      <c r="H40" s="368" t="s">
        <v>228</v>
      </c>
      <c r="I40" s="349"/>
      <c r="J40" s="369">
        <f>IF(D17+N18+E27+J36=0,480,IF('Electrical System 1-line'!J36&gt;0,'Electrical System 1-line'!J36,IF('Electrical System 1-line'!E27&gt;0,'Electrical System 1-line'!E27,IF('Electrical System 1-line'!F16="x",'Electrical System 1-line'!D17,IF('Electrical System 1-line'!J16="x",'Electrical System 1-line'!N18,480)))))</f>
        <v>480</v>
      </c>
      <c r="K40" s="370" t="s">
        <v>252</v>
      </c>
      <c r="L40" s="349"/>
      <c r="M40" s="349"/>
      <c r="N40" s="349"/>
      <c r="O40" s="349"/>
      <c r="P40" s="350"/>
    </row>
    <row r="41" spans="2:16" ht="13" x14ac:dyDescent="0.3">
      <c r="B41" s="348"/>
      <c r="C41" s="349"/>
      <c r="D41" s="349"/>
      <c r="E41" s="349"/>
      <c r="F41" s="349"/>
      <c r="G41" s="349"/>
      <c r="H41" s="349"/>
      <c r="I41" s="349"/>
      <c r="J41" s="349"/>
      <c r="K41" s="349"/>
      <c r="L41" s="349"/>
      <c r="M41" s="349"/>
      <c r="N41" s="349"/>
      <c r="O41" s="349"/>
      <c r="P41" s="350"/>
    </row>
    <row r="42" spans="2:16" ht="13" x14ac:dyDescent="0.3">
      <c r="B42" s="348"/>
      <c r="C42" s="349"/>
      <c r="D42" s="349"/>
      <c r="E42" s="349"/>
      <c r="F42" s="349"/>
      <c r="G42" s="349"/>
      <c r="H42" s="349"/>
      <c r="I42" s="349"/>
      <c r="J42" s="349"/>
      <c r="K42" s="349"/>
      <c r="L42" s="349"/>
      <c r="M42" s="349"/>
      <c r="N42" s="349"/>
      <c r="O42" s="349"/>
      <c r="P42" s="350"/>
    </row>
    <row r="43" spans="2:16" ht="13" x14ac:dyDescent="0.3">
      <c r="B43" s="348"/>
      <c r="C43" s="349"/>
      <c r="D43" s="349"/>
      <c r="E43" s="349"/>
      <c r="F43" s="349"/>
      <c r="G43" s="349"/>
      <c r="H43" s="349"/>
      <c r="I43" s="349"/>
      <c r="J43" s="349"/>
      <c r="K43" s="349"/>
      <c r="L43" s="349"/>
      <c r="M43" s="349"/>
      <c r="N43" s="349"/>
      <c r="O43" s="349"/>
      <c r="P43" s="350"/>
    </row>
    <row r="44" spans="2:16" ht="13" x14ac:dyDescent="0.3">
      <c r="B44" s="348"/>
      <c r="C44" s="349"/>
      <c r="D44" s="349"/>
      <c r="E44" s="349"/>
      <c r="F44" s="349"/>
      <c r="G44" s="349"/>
      <c r="H44" s="349"/>
      <c r="I44" s="349"/>
      <c r="J44" s="349"/>
      <c r="K44" s="349"/>
      <c r="L44" s="349"/>
      <c r="M44" s="349"/>
      <c r="N44" s="349"/>
      <c r="O44" s="349"/>
      <c r="P44" s="350"/>
    </row>
    <row r="45" spans="2:16" ht="13" x14ac:dyDescent="0.3">
      <c r="B45" s="348"/>
      <c r="C45" s="349"/>
      <c r="D45" s="349"/>
      <c r="E45" s="368" t="s">
        <v>221</v>
      </c>
      <c r="F45" s="368"/>
      <c r="G45" s="368"/>
      <c r="H45" s="368"/>
      <c r="I45" s="349"/>
      <c r="J45" s="349"/>
      <c r="K45" s="349"/>
      <c r="L45" s="349"/>
      <c r="M45" s="349"/>
      <c r="N45" s="349"/>
      <c r="O45" s="349"/>
      <c r="P45" s="350"/>
    </row>
    <row r="46" spans="2:16" ht="13.5" thickBot="1" x14ac:dyDescent="0.35">
      <c r="B46" s="371"/>
      <c r="C46" s="372"/>
      <c r="D46" s="372"/>
      <c r="E46" s="372"/>
      <c r="F46" s="372"/>
      <c r="G46" s="372"/>
      <c r="H46" s="372"/>
      <c r="I46" s="372"/>
      <c r="J46" s="372"/>
      <c r="K46" s="372"/>
      <c r="L46" s="372"/>
      <c r="M46" s="372"/>
      <c r="N46" s="372"/>
      <c r="O46" s="372"/>
      <c r="P46" s="373"/>
    </row>
    <row r="47" spans="2:16" ht="13" x14ac:dyDescent="0.3">
      <c r="B47" s="338"/>
      <c r="C47" s="338"/>
      <c r="D47" s="338"/>
      <c r="E47" s="338"/>
      <c r="F47" s="338"/>
      <c r="G47" s="338"/>
      <c r="H47" s="338"/>
      <c r="I47" s="338"/>
      <c r="J47" s="338"/>
      <c r="K47" s="338"/>
      <c r="L47" s="338"/>
      <c r="M47" s="338"/>
      <c r="N47" s="338"/>
      <c r="O47" s="338"/>
      <c r="P47" s="338"/>
    </row>
    <row r="48" spans="2:16" ht="15.5" x14ac:dyDescent="0.35">
      <c r="B48" s="338"/>
      <c r="C48" s="338"/>
      <c r="D48" s="682" t="s">
        <v>210</v>
      </c>
      <c r="E48" s="682"/>
      <c r="F48" s="682"/>
      <c r="G48" s="682"/>
      <c r="H48" s="682"/>
      <c r="I48" s="682"/>
      <c r="J48" s="682"/>
      <c r="K48" s="682"/>
      <c r="L48" s="338"/>
      <c r="M48" s="338"/>
      <c r="N48" s="338"/>
      <c r="O48" s="338"/>
      <c r="P48" s="338"/>
    </row>
  </sheetData>
  <sheetProtection algorithmName="SHA-512" hashValue="HZmTXVTjBn2/t2jKr0im4tAOtFpw7d/kusdonqQtEKuSLW+6p4r+p42YaeMCEOWawhe2vGSIfgyUwMQxRlOIYg==" saltValue="lkZQKRYrXbx653i5EFIxhg==" spinCount="100000" sheet="1" objects="1" scenarios="1"/>
  <mergeCells count="41">
    <mergeCell ref="B1:N1"/>
    <mergeCell ref="D48:K48"/>
    <mergeCell ref="C16:E16"/>
    <mergeCell ref="F12:H13"/>
    <mergeCell ref="H35:I35"/>
    <mergeCell ref="F14:G14"/>
    <mergeCell ref="B10:P10"/>
    <mergeCell ref="K16:O16"/>
    <mergeCell ref="K17:M17"/>
    <mergeCell ref="K18:M18"/>
    <mergeCell ref="K19:M19"/>
    <mergeCell ref="K20:M20"/>
    <mergeCell ref="B19:C19"/>
    <mergeCell ref="K7:L7"/>
    <mergeCell ref="I39:M39"/>
    <mergeCell ref="B3:E3"/>
    <mergeCell ref="C27:D27"/>
    <mergeCell ref="C28:D28"/>
    <mergeCell ref="H36:I36"/>
    <mergeCell ref="H34:K34"/>
    <mergeCell ref="B4:E4"/>
    <mergeCell ref="I7:J7"/>
    <mergeCell ref="C12:E15"/>
    <mergeCell ref="B6:E6"/>
    <mergeCell ref="B8:E8"/>
    <mergeCell ref="K26:O26"/>
    <mergeCell ref="I26:J26"/>
    <mergeCell ref="C25:F25"/>
    <mergeCell ref="C26:D26"/>
    <mergeCell ref="F3:L3"/>
    <mergeCell ref="F4:G4"/>
    <mergeCell ref="B5:E5"/>
    <mergeCell ref="B7:E7"/>
    <mergeCell ref="F8:L8"/>
    <mergeCell ref="J4:L4"/>
    <mergeCell ref="H37:I37"/>
    <mergeCell ref="F5:L5"/>
    <mergeCell ref="F6:L6"/>
    <mergeCell ref="F7:H7"/>
    <mergeCell ref="K12:N14"/>
    <mergeCell ref="K21:O23"/>
  </mergeCells>
  <phoneticPr fontId="0" type="noConversion"/>
  <dataValidations count="1">
    <dataValidation type="list" allowBlank="1" showInputMessage="1" showErrorMessage="1" sqref="J16 F16" xr:uid="{00000000-0002-0000-0400-000000000000}">
      <formula1>$Y$4:$Y$5</formula1>
    </dataValidation>
  </dataValidations>
  <pageMargins left="1" right="0.75" top="1.25" bottom="1" header="0.5" footer="0.5"/>
  <pageSetup scale="71" orientation="portrait" r:id="rId1"/>
  <headerFooter alignWithMargins="0">
    <oddHeader>&amp;C&amp;G</oddHeader>
    <oddFooter>&amp;L&amp;F&amp;R&amp;D&amp;C&amp;"Calibri"&amp;11&amp;K000000Page &amp;P of &amp;N_x000D_&amp;1#&amp;"Arial"&amp;6&amp;K626469Internal</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autoPageBreaks="0" fitToPage="1"/>
  </sheetPr>
  <dimension ref="A1:CE110"/>
  <sheetViews>
    <sheetView tabSelected="1" zoomScale="98" zoomScaleNormal="98" workbookViewId="0">
      <selection activeCell="E11" sqref="E11:F11"/>
    </sheetView>
  </sheetViews>
  <sheetFormatPr defaultColWidth="9.08984375" defaultRowHeight="12.5" x14ac:dyDescent="0.25"/>
  <cols>
    <col min="1" max="1" width="5.08984375" style="103" customWidth="1"/>
    <col min="2" max="2" width="9.54296875" style="103" customWidth="1"/>
    <col min="3" max="3" width="17.54296875" style="103" customWidth="1"/>
    <col min="4" max="4" width="17.08984375" style="103" customWidth="1"/>
    <col min="5" max="5" width="15.90625" style="125" customWidth="1"/>
    <col min="6" max="6" width="16.08984375" style="125" customWidth="1"/>
    <col min="7" max="7" width="14" style="125" customWidth="1"/>
    <col min="8" max="8" width="14.36328125" style="103" customWidth="1"/>
    <col min="9" max="9" width="20.54296875" style="103" customWidth="1"/>
    <col min="10" max="10" width="14.36328125" style="103" customWidth="1"/>
    <col min="11" max="11" width="10" style="103" hidden="1" customWidth="1"/>
    <col min="12" max="12" width="11.54296875" style="103" hidden="1" customWidth="1"/>
    <col min="13" max="13" width="10.54296875" style="103" hidden="1" customWidth="1"/>
    <col min="14" max="14" width="11.54296875" style="103" hidden="1" customWidth="1"/>
    <col min="15" max="15" width="12.6328125" style="103" hidden="1" customWidth="1"/>
    <col min="16" max="16" width="9.08984375" style="103" hidden="1" customWidth="1"/>
    <col min="17" max="17" width="11.54296875" style="103" hidden="1" customWidth="1"/>
    <col min="18" max="18" width="10.90625" style="103" hidden="1" customWidth="1"/>
    <col min="19" max="19" width="9.08984375" style="103" hidden="1" customWidth="1"/>
    <col min="20" max="20" width="11.54296875" style="103" hidden="1" customWidth="1"/>
    <col min="21" max="21" width="10.54296875" style="103" hidden="1" customWidth="1"/>
    <col min="22" max="22" width="9.08984375" style="103" hidden="1" customWidth="1"/>
    <col min="23" max="23" width="11.54296875" style="103" hidden="1" customWidth="1"/>
    <col min="24" max="24" width="15.08984375" style="103" hidden="1" customWidth="1"/>
    <col min="25" max="25" width="9.08984375" style="103" hidden="1" customWidth="1"/>
    <col min="26" max="26" width="16.6328125" style="103" hidden="1" customWidth="1"/>
    <col min="27" max="27" width="10.54296875" style="103" hidden="1" customWidth="1"/>
    <col min="28" max="28" width="9.08984375" style="103" hidden="1" customWidth="1"/>
    <col min="29" max="29" width="11.54296875" style="103" hidden="1" customWidth="1"/>
    <col min="30" max="32" width="9.08984375" style="103" hidden="1" customWidth="1"/>
    <col min="33" max="33" width="11.453125" style="103" hidden="1" customWidth="1"/>
    <col min="34" max="34" width="9.08984375" style="103" hidden="1" customWidth="1"/>
    <col min="35" max="35" width="12.6328125" style="103" hidden="1" customWidth="1"/>
    <col min="36" max="38" width="9.08984375" style="103" hidden="1" customWidth="1"/>
    <col min="39" max="39" width="10.54296875" style="103" hidden="1" customWidth="1"/>
    <col min="40" max="40" width="9.08984375" style="103" hidden="1" customWidth="1"/>
    <col min="41" max="41" width="8.6328125" style="103" hidden="1" customWidth="1"/>
    <col min="42" max="44" width="9.08984375" style="103" hidden="1" customWidth="1"/>
    <col min="45" max="45" width="9.36328125" style="103" hidden="1" customWidth="1"/>
    <col min="46" max="46" width="9.08984375" style="103" hidden="1" customWidth="1"/>
    <col min="47" max="47" width="10" style="103" hidden="1" customWidth="1"/>
    <col min="48" max="49" width="9.08984375" style="103" hidden="1" customWidth="1"/>
    <col min="50" max="50" width="9.453125" style="103" hidden="1" customWidth="1"/>
    <col min="51" max="51" width="9.6328125" style="103" hidden="1" customWidth="1"/>
    <col min="52" max="52" width="11" style="103" hidden="1" customWidth="1"/>
    <col min="53" max="53" width="11.6328125" style="103" hidden="1" customWidth="1"/>
    <col min="54" max="83" width="9.08984375" style="103" hidden="1" customWidth="1"/>
    <col min="84" max="100" width="9.08984375" style="103" customWidth="1"/>
    <col min="101" max="16384" width="9.08984375" style="103"/>
  </cols>
  <sheetData>
    <row r="1" spans="1:82" ht="36.75" customHeight="1" thickBot="1" x14ac:dyDescent="0.3">
      <c r="A1" s="796" t="s">
        <v>1037</v>
      </c>
      <c r="B1" s="797"/>
      <c r="C1" s="797"/>
      <c r="D1" s="798"/>
      <c r="E1" s="798"/>
      <c r="F1" s="798"/>
      <c r="G1" s="797"/>
      <c r="H1" s="797"/>
      <c r="I1" s="797"/>
      <c r="J1" s="799"/>
      <c r="N1" s="103" t="s">
        <v>699</v>
      </c>
      <c r="Y1" s="103" t="s">
        <v>312</v>
      </c>
      <c r="Z1" s="103" t="s">
        <v>622</v>
      </c>
    </row>
    <row r="2" spans="1:82" ht="15.5" x14ac:dyDescent="0.35">
      <c r="A2" s="803" t="str">
        <f>'Electrical System 1-line'!B3</f>
        <v>Customer Name:</v>
      </c>
      <c r="B2" s="803"/>
      <c r="C2" s="803"/>
      <c r="D2" s="804"/>
      <c r="E2" s="805"/>
      <c r="F2" s="806"/>
      <c r="G2" s="374"/>
      <c r="H2" s="374"/>
      <c r="I2" s="467" t="str">
        <f>'Electrical System 1-line'!M2</f>
        <v>Date:</v>
      </c>
      <c r="J2" s="375" t="str">
        <f>IF('Electrical System 1-line'!N2="","",'Electrical System 1-line'!N2)</f>
        <v/>
      </c>
    </row>
    <row r="3" spans="1:82" ht="15.5" x14ac:dyDescent="0.35">
      <c r="A3" s="807" t="str">
        <f>'Electrical System 1-line'!B4</f>
        <v>Project ID:</v>
      </c>
      <c r="B3" s="807"/>
      <c r="C3" s="807"/>
      <c r="D3" s="804"/>
      <c r="E3" s="805"/>
      <c r="F3" s="806"/>
      <c r="G3" s="807" t="str">
        <f>'Electrical System 1-line'!H4</f>
        <v>Project Name:</v>
      </c>
      <c r="H3" s="807"/>
      <c r="I3" s="808" t="str">
        <f>IF('Electrical System 1-line'!J4="","",'Electrical System 1-line'!J4)</f>
        <v/>
      </c>
      <c r="J3" s="809"/>
    </row>
    <row r="4" spans="1:82" ht="13" x14ac:dyDescent="0.3">
      <c r="A4" s="376"/>
      <c r="B4" s="376"/>
      <c r="C4" s="376"/>
      <c r="D4" s="376"/>
      <c r="E4" s="377"/>
      <c r="F4" s="377"/>
      <c r="G4" s="377"/>
      <c r="H4" s="376"/>
      <c r="I4" s="376"/>
      <c r="J4" s="376"/>
      <c r="N4" s="103" t="s">
        <v>2</v>
      </c>
    </row>
    <row r="5" spans="1:82" ht="12.75" customHeight="1" x14ac:dyDescent="0.3">
      <c r="A5" s="376"/>
      <c r="B5" s="802" t="str">
        <f>IF(E11="Distribution Transformer - Secondary",IF(O15=0,N11,""),"")</f>
        <v/>
      </c>
      <c r="C5" s="802"/>
      <c r="D5" s="802"/>
      <c r="E5" s="802"/>
      <c r="F5" s="802" t="str">
        <f>IF(E11="MCC Transfomer - Secondary",IF(N15=0,N13,""),"")</f>
        <v/>
      </c>
      <c r="G5" s="802"/>
      <c r="H5" s="802"/>
      <c r="I5" s="802"/>
      <c r="J5" s="376"/>
      <c r="N5" s="103" t="s">
        <v>211</v>
      </c>
      <c r="AC5" s="126"/>
    </row>
    <row r="6" spans="1:82" ht="27.75" customHeight="1" x14ac:dyDescent="0.3">
      <c r="A6" s="376"/>
      <c r="B6" s="802"/>
      <c r="C6" s="802"/>
      <c r="D6" s="802"/>
      <c r="E6" s="802"/>
      <c r="F6" s="802"/>
      <c r="G6" s="802"/>
      <c r="H6" s="802"/>
      <c r="I6" s="802"/>
      <c r="J6" s="376"/>
      <c r="AC6" s="126"/>
    </row>
    <row r="7" spans="1:82" ht="13" x14ac:dyDescent="0.3">
      <c r="A7" s="376"/>
      <c r="B7" s="376"/>
      <c r="C7" s="376"/>
      <c r="D7" s="376"/>
      <c r="E7" s="377"/>
      <c r="F7" s="377"/>
      <c r="G7" s="377"/>
      <c r="H7" s="376"/>
      <c r="I7" s="376"/>
      <c r="J7" s="376"/>
      <c r="N7" s="127" t="s">
        <v>297</v>
      </c>
    </row>
    <row r="8" spans="1:82" ht="13" x14ac:dyDescent="0.3">
      <c r="A8" s="376"/>
      <c r="B8" s="378"/>
      <c r="C8" s="379"/>
      <c r="D8" s="380"/>
      <c r="E8" s="381"/>
      <c r="F8" s="382"/>
      <c r="G8" s="377"/>
      <c r="H8" s="376"/>
      <c r="I8" s="376"/>
      <c r="J8" s="376"/>
      <c r="N8" s="127" t="s">
        <v>298</v>
      </c>
      <c r="CD8" s="295"/>
    </row>
    <row r="9" spans="1:82" ht="18" customHeight="1" x14ac:dyDescent="0.3">
      <c r="A9" s="376"/>
      <c r="B9" s="378"/>
      <c r="C9" s="727" t="s">
        <v>216</v>
      </c>
      <c r="D9" s="727"/>
      <c r="E9" s="727"/>
      <c r="F9" s="383"/>
      <c r="G9" s="640" t="s">
        <v>223</v>
      </c>
      <c r="H9" s="376"/>
      <c r="I9" s="376"/>
      <c r="J9" s="376"/>
      <c r="N9" s="127" t="s">
        <v>377</v>
      </c>
    </row>
    <row r="10" spans="1:82" ht="21" customHeight="1" x14ac:dyDescent="0.45">
      <c r="A10" s="384"/>
      <c r="B10" s="378"/>
      <c r="C10" s="378"/>
      <c r="D10" s="378"/>
      <c r="E10" s="385"/>
      <c r="F10" s="386"/>
      <c r="G10" s="802" t="str">
        <f>IF(E11="","",IF(VLOOKUP(E11,'work page'!X22:Y25,2)="no",N1,""))</f>
        <v>The PCC selected does not exist! Enter Electrical System Data for the selected PCC on the 'Electrical System 1-line' worksheet!</v>
      </c>
      <c r="H10" s="802"/>
      <c r="I10" s="802"/>
      <c r="J10" s="376"/>
      <c r="N10" s="127" t="s">
        <v>299</v>
      </c>
    </row>
    <row r="11" spans="1:82" ht="18.75" customHeight="1" x14ac:dyDescent="0.3">
      <c r="A11" s="378"/>
      <c r="B11" s="378"/>
      <c r="C11" s="801" t="s">
        <v>142</v>
      </c>
      <c r="D11" s="801"/>
      <c r="E11" s="800" t="s">
        <v>107</v>
      </c>
      <c r="F11" s="800"/>
      <c r="G11" s="802"/>
      <c r="H11" s="802"/>
      <c r="I11" s="802"/>
      <c r="J11" s="376"/>
      <c r="N11" s="127" t="s">
        <v>621</v>
      </c>
    </row>
    <row r="12" spans="1:82" s="129" customFormat="1" ht="13.5" thickBot="1" x14ac:dyDescent="0.35">
      <c r="A12" s="387"/>
      <c r="B12" s="378"/>
      <c r="C12" s="378"/>
      <c r="D12" s="378"/>
      <c r="E12" s="385"/>
      <c r="F12" s="388"/>
      <c r="G12" s="377"/>
      <c r="H12" s="376"/>
      <c r="I12" s="376"/>
      <c r="J12" s="376"/>
    </row>
    <row r="13" spans="1:82" s="130" customFormat="1" ht="21" customHeight="1" x14ac:dyDescent="0.3">
      <c r="A13" s="389"/>
      <c r="B13" s="378"/>
      <c r="C13" s="789" t="s">
        <v>388</v>
      </c>
      <c r="D13" s="790"/>
      <c r="E13" s="791"/>
      <c r="F13" s="390"/>
      <c r="G13" s="391" t="s">
        <v>124</v>
      </c>
      <c r="H13" s="376"/>
      <c r="I13" s="376"/>
      <c r="J13" s="376"/>
      <c r="N13" s="780" t="s">
        <v>1003</v>
      </c>
      <c r="O13" s="780"/>
      <c r="P13" s="780"/>
      <c r="Q13" s="780"/>
      <c r="R13" s="780"/>
      <c r="S13" s="780"/>
      <c r="T13" s="780"/>
      <c r="U13" s="780"/>
      <c r="V13" s="780"/>
      <c r="W13" s="780"/>
      <c r="X13" s="780"/>
      <c r="AA13" s="131">
        <f>IF('Electrical System 1-line'!F16="x",1,0)</f>
        <v>0</v>
      </c>
    </row>
    <row r="14" spans="1:82" ht="14.25" customHeight="1" x14ac:dyDescent="0.3">
      <c r="A14" s="378"/>
      <c r="B14" s="378"/>
      <c r="C14" s="792" t="str">
        <f>IF(F13="","",IF(G17&gt;0,"Entry of a 'TDD Required' value overrides 'Harmonic Standard' selection!",""))</f>
        <v/>
      </c>
      <c r="D14" s="792"/>
      <c r="E14" s="792"/>
      <c r="F14" s="792"/>
      <c r="G14" s="792"/>
      <c r="H14" s="792"/>
      <c r="I14" s="376"/>
      <c r="J14" s="376"/>
      <c r="AA14" s="132">
        <f>IF('Electrical System 1-line'!J16="x",1,0)</f>
        <v>0</v>
      </c>
    </row>
    <row r="15" spans="1:82" s="129" customFormat="1" ht="12" customHeight="1" thickBot="1" x14ac:dyDescent="0.35">
      <c r="A15" s="392"/>
      <c r="B15" s="726" t="str">
        <f>IF('Electrical System 1-line'!F16="x","",IF('Electrical System 1-line'!J16="x","",IF(NOT(F13=""),"Be sure to complete as much of the electrical system data on 'Electrical System 1-Line' worksheet! as possible.","")))</f>
        <v/>
      </c>
      <c r="C15" s="726"/>
      <c r="D15" s="726"/>
      <c r="E15" s="726"/>
      <c r="F15" s="726"/>
      <c r="G15" s="726"/>
      <c r="H15" s="726"/>
      <c r="I15" s="392"/>
      <c r="J15" s="392"/>
      <c r="N15" s="129">
        <f>IF('Electrical System 1-line'!J35&gt;0,IF('Electrical System 1-line'!J36&gt;0,IF('Electrical System 1-line'!J37&gt;0,1,0),0),0)</f>
        <v>0</v>
      </c>
      <c r="O15" s="129">
        <f>IF('Electrical System 1-line'!E26&gt;0,IF('Electrical System 1-line'!E27&gt;0,IF('Electrical System 1-line'!E28&gt;0,1,0),0),0)</f>
        <v>0</v>
      </c>
      <c r="P15" s="129">
        <f>IF('Electrical System 1-line'!N17&gt;0,IF('Electrical System 1-line'!N18&gt;0,IF('Electrical System 1-line'!N19&gt;0,IF('Electrical System 1-line'!N20&gt;0,1,0),0),0),0)</f>
        <v>0</v>
      </c>
      <c r="Q15" s="129">
        <f>IF('Electrical System 1-line'!D17&gt;0,IF('Electrical System 1-line'!D18&gt;0,1,0),0)</f>
        <v>0</v>
      </c>
      <c r="AA15" s="133">
        <f>SUM(AA13:AA14)</f>
        <v>0</v>
      </c>
    </row>
    <row r="16" spans="1:82" ht="36" customHeight="1" thickBot="1" x14ac:dyDescent="0.4">
      <c r="A16" s="392"/>
      <c r="B16" s="795" t="s">
        <v>623</v>
      </c>
      <c r="C16" s="795"/>
      <c r="D16" s="795"/>
      <c r="E16" s="810" t="str">
        <f>IF(D17="x",IF(F13="",IF(G17="",N24,""),""),"")</f>
        <v/>
      </c>
      <c r="F16" s="810"/>
      <c r="G16" s="810"/>
      <c r="H16" s="810"/>
      <c r="I16" s="810"/>
      <c r="J16" s="810"/>
      <c r="AA16" s="134">
        <f>IF(AA14=1,IF('Electrical System 1-line'!N20=0,0,'Electrical System 1-line'!N17*1000/'Electrical System 1-line'!J40/'Electrical System 1-line'!N20/3^0.5),0)</f>
        <v>0</v>
      </c>
    </row>
    <row r="17" spans="1:33" s="130" customFormat="1" ht="16.5" customHeight="1" thickBot="1" x14ac:dyDescent="0.35">
      <c r="A17" s="392"/>
      <c r="B17" s="787" t="s">
        <v>123</v>
      </c>
      <c r="C17" s="788"/>
      <c r="D17" s="393"/>
      <c r="E17" s="793" t="s">
        <v>1001</v>
      </c>
      <c r="F17" s="793"/>
      <c r="G17" s="394"/>
      <c r="H17" s="811" t="str">
        <f>IF(D18="x",IF(G18="",N20,""),"")</f>
        <v/>
      </c>
      <c r="I17" s="812"/>
      <c r="J17" s="812"/>
      <c r="N17" s="135" t="s">
        <v>300</v>
      </c>
      <c r="O17" s="135"/>
      <c r="AA17" s="136"/>
      <c r="AB17" s="129">
        <f>IF(AA16&gt;AA18,IF(AA18=0,AA16,AA18),0)</f>
        <v>0</v>
      </c>
      <c r="AG17" s="103" t="s">
        <v>86</v>
      </c>
    </row>
    <row r="18" spans="1:33" ht="15" customHeight="1" thickBot="1" x14ac:dyDescent="0.35">
      <c r="A18" s="392"/>
      <c r="B18" s="787" t="s">
        <v>119</v>
      </c>
      <c r="C18" s="788"/>
      <c r="D18" s="393"/>
      <c r="E18" s="783" t="s">
        <v>1038</v>
      </c>
      <c r="F18" s="784"/>
      <c r="G18" s="395"/>
      <c r="H18" s="811"/>
      <c r="I18" s="812"/>
      <c r="J18" s="812"/>
      <c r="N18" s="103" t="s">
        <v>215</v>
      </c>
      <c r="AA18" s="132">
        <f>'Electrical System 1-line'!E26*1000/'Electrical System 1-line'!J40/3^0.5</f>
        <v>0</v>
      </c>
      <c r="AC18" s="129">
        <f>IF(AB17&gt;AB19,IF(AB19=0,AB17,AB19),IF(AB17=0,AB19,AB17))</f>
        <v>0</v>
      </c>
      <c r="AG18" s="121" t="s">
        <v>93</v>
      </c>
    </row>
    <row r="19" spans="1:33" s="129" customFormat="1" ht="18.75" customHeight="1" thickBot="1" x14ac:dyDescent="0.35">
      <c r="A19" s="392"/>
      <c r="B19" s="396"/>
      <c r="C19" s="781" t="s">
        <v>316</v>
      </c>
      <c r="D19" s="782"/>
      <c r="E19" s="782"/>
      <c r="F19" s="782"/>
      <c r="G19" s="397"/>
      <c r="H19" s="811"/>
      <c r="I19" s="812"/>
      <c r="J19" s="812"/>
      <c r="AA19" s="136"/>
      <c r="AB19" s="129">
        <f>IF(AA18&gt;AA20,IF(AA20=0,AA18,AA20),IF(AA18=0,AA20,AA18))</f>
        <v>0</v>
      </c>
      <c r="AG19" s="103" t="s">
        <v>54</v>
      </c>
    </row>
    <row r="20" spans="1:33" ht="8.25" customHeight="1" x14ac:dyDescent="0.3">
      <c r="A20" s="392"/>
      <c r="B20" s="818"/>
      <c r="C20" s="818"/>
      <c r="D20" s="362"/>
      <c r="E20" s="817"/>
      <c r="F20" s="817"/>
      <c r="G20" s="817"/>
      <c r="H20" s="398"/>
      <c r="I20" s="398"/>
      <c r="J20" s="398"/>
      <c r="N20" s="127" t="s">
        <v>700</v>
      </c>
      <c r="AA20" s="132">
        <f>'Electrical System 1-line'!J35*1000/'Electrical System 1-line'!J40/3^0.5</f>
        <v>0</v>
      </c>
      <c r="AG20" s="121" t="s">
        <v>87</v>
      </c>
    </row>
    <row r="21" spans="1:33" ht="8.25" customHeight="1" thickBot="1" x14ac:dyDescent="0.35">
      <c r="A21" s="399"/>
      <c r="B21" s="399"/>
      <c r="C21" s="399"/>
      <c r="D21" s="400"/>
      <c r="E21" s="400"/>
      <c r="F21" s="400"/>
      <c r="G21" s="400"/>
      <c r="H21" s="400"/>
      <c r="I21" s="400"/>
      <c r="J21" s="392"/>
      <c r="AA21" s="137">
        <f>SUM(AA16:AA20)</f>
        <v>0</v>
      </c>
      <c r="AC21" s="103">
        <f>IF(E56=0,0,AC18/E56)</f>
        <v>0</v>
      </c>
      <c r="AE21" s="103">
        <v>6</v>
      </c>
      <c r="AG21" s="121" t="s">
        <v>88</v>
      </c>
    </row>
    <row r="22" spans="1:33" ht="19.5" customHeight="1" x14ac:dyDescent="0.45">
      <c r="A22" s="399"/>
      <c r="B22" s="399"/>
      <c r="C22" s="399"/>
      <c r="D22" s="816" t="str">
        <f>IF(D20="",IF(D18="",IF(D17="",N17,""),""),"")</f>
        <v>Selection of at least one operational mode is required!</v>
      </c>
      <c r="E22" s="816"/>
      <c r="F22" s="816"/>
      <c r="G22" s="816"/>
      <c r="H22" s="816"/>
      <c r="I22" s="401"/>
      <c r="J22" s="392"/>
      <c r="N22" s="103" t="s">
        <v>208</v>
      </c>
      <c r="AE22" s="103">
        <v>12</v>
      </c>
      <c r="AG22" s="121" t="s">
        <v>89</v>
      </c>
    </row>
    <row r="23" spans="1:33" ht="27" customHeight="1" thickBot="1" x14ac:dyDescent="0.4">
      <c r="A23" s="392"/>
      <c r="B23" s="392"/>
      <c r="C23" s="813" t="str">
        <f>IF(D20="",IF(D18="",IF(D17="x",IF(G19&gt;0,IF(G19&lt;1,N18,""),""),""),""),"")</f>
        <v/>
      </c>
      <c r="D23" s="813"/>
      <c r="E23" s="813"/>
      <c r="F23" s="813"/>
      <c r="G23" s="813"/>
      <c r="H23" s="813"/>
      <c r="I23" s="813"/>
      <c r="J23" s="392"/>
      <c r="AE23" s="103">
        <v>18</v>
      </c>
      <c r="AG23" s="103" t="s">
        <v>90</v>
      </c>
    </row>
    <row r="24" spans="1:33" ht="21" customHeight="1" x14ac:dyDescent="0.25">
      <c r="A24" s="760" t="s">
        <v>121</v>
      </c>
      <c r="B24" s="761"/>
      <c r="C24" s="761"/>
      <c r="D24" s="761"/>
      <c r="E24" s="761"/>
      <c r="F24" s="761"/>
      <c r="G24" s="761"/>
      <c r="H24" s="761"/>
      <c r="I24" s="761"/>
      <c r="J24" s="762"/>
      <c r="N24" s="103" t="s">
        <v>691</v>
      </c>
      <c r="AG24" s="121" t="s">
        <v>91</v>
      </c>
    </row>
    <row r="25" spans="1:33" ht="48.75" customHeight="1" x14ac:dyDescent="0.35">
      <c r="A25" s="593" t="s">
        <v>73</v>
      </c>
      <c r="B25" s="594" t="s">
        <v>106</v>
      </c>
      <c r="C25" s="594" t="s">
        <v>117</v>
      </c>
      <c r="D25" s="594" t="s">
        <v>296</v>
      </c>
      <c r="E25" s="814" t="s">
        <v>104</v>
      </c>
      <c r="F25" s="815"/>
      <c r="G25" s="594" t="s">
        <v>198</v>
      </c>
      <c r="H25" s="594" t="s">
        <v>12</v>
      </c>
      <c r="I25" s="594" t="s">
        <v>118</v>
      </c>
      <c r="J25" s="595" t="s">
        <v>375</v>
      </c>
      <c r="AG25" s="103" t="s">
        <v>92</v>
      </c>
    </row>
    <row r="26" spans="1:33" ht="15.75" customHeight="1" x14ac:dyDescent="0.3">
      <c r="A26" s="402">
        <v>1</v>
      </c>
      <c r="B26" s="654"/>
      <c r="C26" s="655"/>
      <c r="D26" s="654"/>
      <c r="E26" s="765"/>
      <c r="F26" s="766"/>
      <c r="G26" s="654"/>
      <c r="H26" s="656"/>
      <c r="I26" s="657"/>
      <c r="J26" s="404"/>
      <c r="N26" s="103" t="s">
        <v>217</v>
      </c>
      <c r="AG26" s="103" t="s">
        <v>94</v>
      </c>
    </row>
    <row r="27" spans="1:33" s="129" customFormat="1" ht="15.75" customHeight="1" x14ac:dyDescent="0.3">
      <c r="A27" s="402">
        <f>A26+1</f>
        <v>2</v>
      </c>
      <c r="B27" s="654"/>
      <c r="C27" s="655"/>
      <c r="D27" s="654"/>
      <c r="E27" s="765"/>
      <c r="F27" s="766"/>
      <c r="G27" s="654"/>
      <c r="H27" s="656"/>
      <c r="I27" s="657"/>
      <c r="J27" s="404"/>
      <c r="AG27" s="103"/>
    </row>
    <row r="28" spans="1:33" s="129" customFormat="1" ht="15.75" customHeight="1" x14ac:dyDescent="0.3">
      <c r="A28" s="402">
        <f t="shared" ref="A28:A35" si="0">A27+1</f>
        <v>3</v>
      </c>
      <c r="B28" s="654"/>
      <c r="C28" s="655"/>
      <c r="D28" s="654"/>
      <c r="E28" s="765"/>
      <c r="F28" s="766"/>
      <c r="G28" s="654"/>
      <c r="H28" s="656"/>
      <c r="I28" s="657"/>
      <c r="J28" s="404"/>
      <c r="N28" s="135" t="s">
        <v>187</v>
      </c>
      <c r="AG28" s="103"/>
    </row>
    <row r="29" spans="1:33" s="129" customFormat="1" ht="15.75" customHeight="1" x14ac:dyDescent="0.3">
      <c r="A29" s="402">
        <f t="shared" si="0"/>
        <v>4</v>
      </c>
      <c r="B29" s="654"/>
      <c r="C29" s="655"/>
      <c r="D29" s="654"/>
      <c r="E29" s="765"/>
      <c r="F29" s="766"/>
      <c r="G29" s="654"/>
      <c r="H29" s="656"/>
      <c r="I29" s="657"/>
      <c r="J29" s="404"/>
    </row>
    <row r="30" spans="1:33" s="129" customFormat="1" ht="15.75" customHeight="1" x14ac:dyDescent="0.3">
      <c r="A30" s="402">
        <f t="shared" si="0"/>
        <v>5</v>
      </c>
      <c r="B30" s="403"/>
      <c r="C30" s="655"/>
      <c r="D30" s="654"/>
      <c r="E30" s="765"/>
      <c r="F30" s="766"/>
      <c r="G30" s="654"/>
      <c r="H30" s="656"/>
      <c r="I30" s="657"/>
      <c r="J30" s="404"/>
      <c r="N30" s="786" t="s">
        <v>695</v>
      </c>
      <c r="O30" s="786"/>
      <c r="P30" s="786"/>
      <c r="Q30" s="786"/>
      <c r="R30" s="786"/>
      <c r="S30" s="786"/>
      <c r="T30" s="786"/>
      <c r="U30" s="786"/>
      <c r="V30" s="786"/>
      <c r="W30" s="786"/>
      <c r="X30" s="786"/>
    </row>
    <row r="31" spans="1:33" s="129" customFormat="1" ht="15.75" customHeight="1" x14ac:dyDescent="0.3">
      <c r="A31" s="402">
        <f t="shared" si="0"/>
        <v>6</v>
      </c>
      <c r="B31" s="403"/>
      <c r="C31" s="655"/>
      <c r="D31" s="654"/>
      <c r="E31" s="765"/>
      <c r="F31" s="766"/>
      <c r="G31" s="654"/>
      <c r="H31" s="656"/>
      <c r="I31" s="657"/>
      <c r="J31" s="404"/>
    </row>
    <row r="32" spans="1:33" s="129" customFormat="1" ht="15.75" customHeight="1" x14ac:dyDescent="0.3">
      <c r="A32" s="402">
        <f t="shared" si="0"/>
        <v>7</v>
      </c>
      <c r="B32" s="403"/>
      <c r="C32" s="655"/>
      <c r="D32" s="654"/>
      <c r="E32" s="765"/>
      <c r="F32" s="766"/>
      <c r="G32" s="654"/>
      <c r="H32" s="656"/>
      <c r="I32" s="657"/>
      <c r="J32" s="404"/>
    </row>
    <row r="33" spans="1:65" s="129" customFormat="1" ht="15.75" customHeight="1" x14ac:dyDescent="0.3">
      <c r="A33" s="402">
        <f t="shared" si="0"/>
        <v>8</v>
      </c>
      <c r="B33" s="403"/>
      <c r="C33" s="655"/>
      <c r="D33" s="654"/>
      <c r="E33" s="765"/>
      <c r="F33" s="766"/>
      <c r="G33" s="654"/>
      <c r="H33" s="656"/>
      <c r="I33" s="657"/>
      <c r="J33" s="404"/>
    </row>
    <row r="34" spans="1:65" s="129" customFormat="1" ht="15.75" customHeight="1" x14ac:dyDescent="0.3">
      <c r="A34" s="402">
        <f t="shared" si="0"/>
        <v>9</v>
      </c>
      <c r="B34" s="403"/>
      <c r="C34" s="655"/>
      <c r="D34" s="654"/>
      <c r="E34" s="765"/>
      <c r="F34" s="766"/>
      <c r="G34" s="654"/>
      <c r="H34" s="656"/>
      <c r="I34" s="657"/>
      <c r="J34" s="404"/>
    </row>
    <row r="35" spans="1:65" s="129" customFormat="1" ht="15.75" customHeight="1" thickBot="1" x14ac:dyDescent="0.35">
      <c r="A35" s="405">
        <f t="shared" si="0"/>
        <v>10</v>
      </c>
      <c r="B35" s="406"/>
      <c r="C35" s="655"/>
      <c r="D35" s="654"/>
      <c r="E35" s="765"/>
      <c r="F35" s="766"/>
      <c r="G35" s="654"/>
      <c r="H35" s="656"/>
      <c r="I35" s="657"/>
      <c r="J35" s="404"/>
      <c r="M35" s="135" t="s">
        <v>372</v>
      </c>
      <c r="N35" s="135" t="s">
        <v>177</v>
      </c>
      <c r="AA35" s="653">
        <f>MAX(AB38:AB47)</f>
        <v>0</v>
      </c>
      <c r="AP35" s="759" t="s">
        <v>631</v>
      </c>
      <c r="AQ35" s="759"/>
      <c r="AR35" s="759"/>
      <c r="AS35" s="759"/>
    </row>
    <row r="36" spans="1:65" ht="20.25" customHeight="1" x14ac:dyDescent="0.3">
      <c r="A36" s="380"/>
      <c r="B36" s="380"/>
      <c r="C36" s="407"/>
      <c r="D36" s="407"/>
      <c r="E36" s="407"/>
      <c r="F36" s="407"/>
      <c r="G36" s="407"/>
      <c r="H36" s="408"/>
      <c r="I36" s="408"/>
      <c r="J36" s="376"/>
      <c r="M36" s="139">
        <f>'work page'!G13</f>
        <v>0</v>
      </c>
      <c r="N36" s="139">
        <f>'work page'!P13</f>
        <v>0</v>
      </c>
      <c r="P36" s="103" t="s">
        <v>152</v>
      </c>
      <c r="S36" s="139">
        <f>'Electrical System 1-line'!J40</f>
        <v>480</v>
      </c>
      <c r="Y36" s="759" t="s">
        <v>376</v>
      </c>
      <c r="AD36" s="103" t="s">
        <v>410</v>
      </c>
      <c r="AQ36" s="759" t="s">
        <v>632</v>
      </c>
      <c r="AR36" s="129"/>
      <c r="AS36" s="129"/>
      <c r="AT36" s="129"/>
      <c r="AU36" s="129"/>
      <c r="BL36" s="759" t="s">
        <v>403</v>
      </c>
    </row>
    <row r="37" spans="1:65" s="130" customFormat="1" ht="18" customHeight="1" thickBot="1" x14ac:dyDescent="0.35">
      <c r="A37" s="409"/>
      <c r="B37" s="409"/>
      <c r="C37" s="409"/>
      <c r="D37" s="409"/>
      <c r="E37" s="409"/>
      <c r="F37" s="409"/>
      <c r="G37" s="410"/>
      <c r="H37" s="410"/>
      <c r="I37" s="410"/>
      <c r="J37" s="411"/>
      <c r="M37" s="130" t="s">
        <v>373</v>
      </c>
      <c r="N37" s="130" t="s">
        <v>409</v>
      </c>
      <c r="O37" s="130" t="s">
        <v>214</v>
      </c>
      <c r="P37" s="130" t="s">
        <v>153</v>
      </c>
      <c r="Q37" s="130" t="s">
        <v>18</v>
      </c>
      <c r="R37" s="130" t="s">
        <v>155</v>
      </c>
      <c r="S37" s="130" t="s">
        <v>80</v>
      </c>
      <c r="T37" s="130" t="s">
        <v>81</v>
      </c>
      <c r="U37" s="130" t="s">
        <v>95</v>
      </c>
      <c r="V37" s="130" t="s">
        <v>159</v>
      </c>
      <c r="Y37" s="759"/>
      <c r="Z37" s="130" t="s">
        <v>180</v>
      </c>
      <c r="AA37" s="130" t="s">
        <v>212</v>
      </c>
      <c r="AB37" s="130" t="s">
        <v>369</v>
      </c>
      <c r="AC37" s="130" t="s">
        <v>185</v>
      </c>
      <c r="AD37" s="130" t="s">
        <v>408</v>
      </c>
      <c r="AL37" s="130" t="s">
        <v>185</v>
      </c>
      <c r="AM37" s="130" t="s">
        <v>295</v>
      </c>
      <c r="AO37" s="130" t="s">
        <v>83</v>
      </c>
      <c r="AP37" s="130" t="s">
        <v>75</v>
      </c>
      <c r="AQ37" s="759"/>
      <c r="BB37" s="130" t="s">
        <v>393</v>
      </c>
      <c r="BC37" s="130" t="s">
        <v>394</v>
      </c>
      <c r="BD37" s="130" t="s">
        <v>395</v>
      </c>
      <c r="BE37" s="130" t="s">
        <v>396</v>
      </c>
      <c r="BF37" s="130" t="s">
        <v>397</v>
      </c>
      <c r="BG37" s="130" t="s">
        <v>398</v>
      </c>
      <c r="BH37" s="130" t="s">
        <v>399</v>
      </c>
      <c r="BI37" s="130" t="s">
        <v>400</v>
      </c>
      <c r="BJ37" s="130" t="s">
        <v>401</v>
      </c>
      <c r="BK37" s="130" t="s">
        <v>402</v>
      </c>
      <c r="BL37" s="759"/>
      <c r="BM37" s="130" t="s">
        <v>404</v>
      </c>
    </row>
    <row r="38" spans="1:65" s="140" customFormat="1" ht="25.5" customHeight="1" x14ac:dyDescent="0.3">
      <c r="A38" s="760" t="s">
        <v>387</v>
      </c>
      <c r="B38" s="761"/>
      <c r="C38" s="761"/>
      <c r="D38" s="761"/>
      <c r="E38" s="761"/>
      <c r="F38" s="762"/>
      <c r="G38" s="412"/>
      <c r="H38" s="763" t="s">
        <v>630</v>
      </c>
      <c r="I38" s="764"/>
      <c r="J38" s="376"/>
      <c r="K38" s="103"/>
      <c r="M38" s="141">
        <f>IF($N$36=0,2501,IF(P38=0,2501,$N$36/P38))</f>
        <v>2501</v>
      </c>
      <c r="N38" s="142">
        <f>IF(M38&lt;=20,20,IF(M38&lt;=50,50,IF(M38&lt;=100,100,IF(M38&lt;=1000,1000,IF(M38&lt;2500,2500,2501)))))</f>
        <v>2501</v>
      </c>
      <c r="O38" s="141">
        <f t="shared" ref="O38:O47" si="1">IF(E26="",0,IF(G26=0,0,IF(D26="KW",B26*C26/0.746,B26*C26)*IF(I26=0,1,I26)))</f>
        <v>0</v>
      </c>
      <c r="P38" s="141">
        <f t="shared" ref="P38:P47" si="2">O38*1000/S$36/3^0.5</f>
        <v>0</v>
      </c>
      <c r="Q38" s="143">
        <f>IF(O38=0,0,'Selection Basics'!Z51)*AD38</f>
        <v>0</v>
      </c>
      <c r="R38" s="141">
        <f>'Selection Basics'!P22</f>
        <v>0</v>
      </c>
      <c r="S38" s="141">
        <f>P38/(1+(Q38)^2)^0.5</f>
        <v>0</v>
      </c>
      <c r="T38" s="141">
        <f>S38*Q38</f>
        <v>0</v>
      </c>
      <c r="U38" s="141">
        <f>V38*TAN(ACOS(Z38))</f>
        <v>0</v>
      </c>
      <c r="V38" s="141">
        <f>S38*Z38</f>
        <v>0</v>
      </c>
      <c r="W38" s="141"/>
      <c r="X38" s="141"/>
      <c r="Y38" s="140">
        <f>IF(P38=0,0,IF(E26='work page'!$H$17,'Selection Basics'!Z22,INDEX('work page'!$H$17:I$28,MATCH('AccuSine Sizing Tool'!E26,'work page'!$H$17:$H$28,0),2)))</f>
        <v>0</v>
      </c>
      <c r="Z38" s="140">
        <f t="shared" ref="Z38:Z47" si="3">IF(Y38=-0.05,(IF(I26="",1,I26)*IF(J26="",0.95,J26)),Y38)</f>
        <v>0</v>
      </c>
      <c r="AA38" s="140">
        <f t="shared" ref="AA38:AA47" si="4">IF(O38=0,0,IF(AB38&gt;0.8*AA$35,B26,0))</f>
        <v>0</v>
      </c>
      <c r="AB38" s="144">
        <f>IF(B26=0,0,(IF(D26="KW",C26/0.746,C26)))</f>
        <v>0</v>
      </c>
      <c r="AC38" s="140" t="str">
        <f t="shared" ref="AC38:AC47" si="5">IF(G26=12,P38,"")</f>
        <v/>
      </c>
      <c r="AD38" s="140">
        <f>IF(E26='work page'!H$18,2/0.3*(0.95-IF(J26=0,0.95,J26))+1,IF(E26='work page'!H$20,2/0.3*(0.95-IF(J26=0,0.95,J26))+1,IF(E26='work page'!H$21,2/0.3*(0.95-IF(J26=0,0.95,J26))+1,IF(E26='work page'!H$22,2/0.3*(0.95-IF(J26=0,0.95,J26))+1,IF(E26='work page'!H$24,2/0.3*(0.95-IF(J26=0,0.95,J26))+1,IF(I26="",1,1.25-0.25/0.4*(I26-0.6)))))))</f>
        <v>1</v>
      </c>
      <c r="AL38" s="140">
        <f t="shared" ref="AL38:AL47" si="6">IF($G26=12,IF($H26="",1,IF($H26&gt;0,1,0)),0)</f>
        <v>0</v>
      </c>
      <c r="AM38" s="140">
        <f t="shared" ref="AM38:AM47" si="7">IF($G26=18,IF(H26="",1,IF($H26&gt;0,1,0)),0)</f>
        <v>0</v>
      </c>
      <c r="BA38" s="144">
        <f t="shared" ref="BA38:BA47" si="8">IF(O38&gt;0,ROUND(O38/B26,1),0)</f>
        <v>0</v>
      </c>
      <c r="BB38" s="140">
        <f>IF(BA38&gt;0,$B26,0)</f>
        <v>0</v>
      </c>
      <c r="BC38" s="140">
        <f>IF($BA39=$BA$38,$B27,0)</f>
        <v>0</v>
      </c>
      <c r="BD38" s="140">
        <f>IF($BA40=$BA$38,$B28,0)</f>
        <v>0</v>
      </c>
      <c r="BE38" s="140">
        <f>IF($BA41=$BA$38,$B29,0)</f>
        <v>0</v>
      </c>
      <c r="BF38" s="140">
        <f>IF($BA42=$BA$38,$B30,0)</f>
        <v>0</v>
      </c>
      <c r="BG38" s="140">
        <f>IF($BA43=$BA$38,$B31,0)</f>
        <v>0</v>
      </c>
      <c r="BH38" s="140">
        <f>IF($BA44=$BA$38,$B32,0)</f>
        <v>0</v>
      </c>
      <c r="BI38" s="140">
        <f>IF($BA45=$BA$38,$B33,0)</f>
        <v>0</v>
      </c>
      <c r="BJ38" s="140">
        <f>IF($BA46=$BA$38,$B34,0)</f>
        <v>0</v>
      </c>
      <c r="BK38" s="140">
        <f>IF($BA47=$BA$38,$B35,0)</f>
        <v>0</v>
      </c>
      <c r="BL38" s="140">
        <f>SUM(BB38:BK38)</f>
        <v>0</v>
      </c>
      <c r="BM38" s="140">
        <f>IF(BB38=0,0,IF(BL38=BB38,1,BL38))</f>
        <v>0</v>
      </c>
    </row>
    <row r="39" spans="1:65" ht="31" x14ac:dyDescent="0.55000000000000004">
      <c r="A39" s="593" t="s">
        <v>73</v>
      </c>
      <c r="B39" s="594" t="s">
        <v>106</v>
      </c>
      <c r="C39" s="594" t="s">
        <v>117</v>
      </c>
      <c r="D39" s="594" t="s">
        <v>296</v>
      </c>
      <c r="E39" s="594" t="s">
        <v>122</v>
      </c>
      <c r="F39" s="596" t="s">
        <v>118</v>
      </c>
      <c r="G39" s="411"/>
      <c r="H39" s="633" t="s">
        <v>1055</v>
      </c>
      <c r="I39" s="634" t="s">
        <v>96</v>
      </c>
      <c r="J39" s="411"/>
      <c r="M39" s="652">
        <f t="shared" ref="M39:M47" si="9">IF($N$36=0,2501,IF(P39=0,2501,$N$36/P39))</f>
        <v>2501</v>
      </c>
      <c r="N39" s="142">
        <f t="shared" ref="N39:N47" si="10">IF(M39&lt;=20,20,IF(M39&lt;=50,50,IF(M39&lt;=100,100,IF(M39&lt;=1000,1000,IF(M39&lt;2500,2500,2501)))))</f>
        <v>2501</v>
      </c>
      <c r="O39" s="141">
        <f t="shared" si="1"/>
        <v>0</v>
      </c>
      <c r="P39" s="145">
        <f t="shared" si="2"/>
        <v>0</v>
      </c>
      <c r="Q39" s="147">
        <f>IF(O39=0,0,'Selection Basics'!Z52)*AD39</f>
        <v>0</v>
      </c>
      <c r="R39" s="145">
        <f>'Selection Basics'!P23</f>
        <v>0</v>
      </c>
      <c r="S39" s="145">
        <f t="shared" ref="S39:S47" si="11">P39/(1+(Q39)^2)^0.5</f>
        <v>0</v>
      </c>
      <c r="T39" s="145">
        <f t="shared" ref="T39:T47" si="12">S39*Q39</f>
        <v>0</v>
      </c>
      <c r="U39" s="145">
        <f t="shared" ref="U39:U47" si="13">V39*TAN(ACOS(Z39))</f>
        <v>0</v>
      </c>
      <c r="V39" s="145">
        <f t="shared" ref="V39:V47" si="14">S39*Z39</f>
        <v>0</v>
      </c>
      <c r="W39" s="145"/>
      <c r="X39" s="145"/>
      <c r="Y39" s="103">
        <f>IF(P39=0,0,IF(E27='work page'!$H$17,'Selection Basics'!Z23,INDEX('work page'!$H$17:I$28,MATCH('AccuSine Sizing Tool'!E27,'work page'!$H$17:$H$28,0),2)))</f>
        <v>0</v>
      </c>
      <c r="Z39" s="103">
        <f t="shared" si="3"/>
        <v>0</v>
      </c>
      <c r="AA39" s="103">
        <f t="shared" si="4"/>
        <v>0</v>
      </c>
      <c r="AB39" s="148">
        <f t="shared" ref="AB39:AB47" si="15">IF(D27="kw",C27/0.746,C27)</f>
        <v>0</v>
      </c>
      <c r="AC39" s="103" t="str">
        <f t="shared" si="5"/>
        <v/>
      </c>
      <c r="AD39" s="103">
        <f>IF(E27='work page'!H$18,2/0.3*(0.95-IF(J27=0,0.95,J27))+1,IF(E27='work page'!H$20,2/0.3*(0.95-IF(J27=0,0.95,J27))+1,IF(E27='work page'!H$21,2/0.3*(0.95-IF(J27=0,0.95,J27))+1,IF(E27='work page'!H$22,2/0.3*(0.95-IF(J27=0,0.95,J27))+1,IF(E27='work page'!H$24,2/0.3*(0.95-IF(J27=0,0.95,J27))+1,1)))))</f>
        <v>1</v>
      </c>
      <c r="AE39" s="103">
        <f>T39*11/5</f>
        <v>0</v>
      </c>
      <c r="AF39" s="149">
        <f>SQRT(SUMSQ(T38,AE39))</f>
        <v>0</v>
      </c>
      <c r="AH39" s="103" t="s">
        <v>275</v>
      </c>
      <c r="AL39" s="103">
        <f t="shared" si="6"/>
        <v>0</v>
      </c>
      <c r="AM39" s="103">
        <f t="shared" si="7"/>
        <v>0</v>
      </c>
      <c r="BA39" s="148">
        <f t="shared" si="8"/>
        <v>0</v>
      </c>
      <c r="BB39" s="103">
        <f>IF($BA38=$BA39,$B$26,0)</f>
        <v>0</v>
      </c>
      <c r="BC39" s="103">
        <f>IF($BA39&gt;0,$B27,0)</f>
        <v>0</v>
      </c>
      <c r="BD39" s="103">
        <f>IF($BA40=$BA$39,$B$28,0)</f>
        <v>0</v>
      </c>
      <c r="BE39" s="103">
        <f>IF($BA41=$BA$39,$B29,0)</f>
        <v>0</v>
      </c>
      <c r="BF39" s="103">
        <f>IF($BA42=$BA$39,$B30,0)</f>
        <v>0</v>
      </c>
      <c r="BG39" s="103">
        <f>IF($BA43=$BA$39,$B31,0)</f>
        <v>0</v>
      </c>
      <c r="BH39" s="103">
        <f>IF($BA44=$BA$39,$B32,0)</f>
        <v>0</v>
      </c>
      <c r="BI39" s="103">
        <f>IF($BA45=$BA$39,$B33,0)</f>
        <v>0</v>
      </c>
      <c r="BJ39" s="103">
        <f>IF($BA46=$BA$39,$B34,0)</f>
        <v>0</v>
      </c>
      <c r="BK39" s="103">
        <f>IF($BA47=$BA$39,$B35,0)</f>
        <v>0</v>
      </c>
      <c r="BL39" s="103">
        <f t="shared" ref="BL39:BL47" si="16">SUM(BB39:BK39)</f>
        <v>0</v>
      </c>
      <c r="BM39" s="103">
        <f>IF(BC39=0,0,IF(BL39=BC39,1,BL39))</f>
        <v>0</v>
      </c>
    </row>
    <row r="40" spans="1:65" ht="21" customHeight="1" x14ac:dyDescent="0.45">
      <c r="A40" s="402">
        <f>A35+1</f>
        <v>11</v>
      </c>
      <c r="B40" s="413"/>
      <c r="C40" s="414"/>
      <c r="D40" s="415"/>
      <c r="E40" s="416"/>
      <c r="F40" s="417"/>
      <c r="G40" s="377"/>
      <c r="H40" s="635" t="s">
        <v>203</v>
      </c>
      <c r="I40" s="636">
        <v>0.05</v>
      </c>
      <c r="J40" s="376"/>
      <c r="M40" s="652">
        <f t="shared" si="9"/>
        <v>2501</v>
      </c>
      <c r="N40" s="142">
        <f t="shared" si="10"/>
        <v>2501</v>
      </c>
      <c r="O40" s="145">
        <f t="shared" si="1"/>
        <v>0</v>
      </c>
      <c r="P40" s="145">
        <f t="shared" si="2"/>
        <v>0</v>
      </c>
      <c r="Q40" s="147">
        <f>IF(O40=0,0,'Selection Basics'!Z53)*AD40</f>
        <v>0</v>
      </c>
      <c r="R40" s="145">
        <f>'Selection Basics'!P24</f>
        <v>0</v>
      </c>
      <c r="S40" s="145">
        <f t="shared" si="11"/>
        <v>0</v>
      </c>
      <c r="T40" s="145">
        <f t="shared" si="12"/>
        <v>0</v>
      </c>
      <c r="U40" s="145">
        <f t="shared" si="13"/>
        <v>0</v>
      </c>
      <c r="V40" s="145">
        <f t="shared" si="14"/>
        <v>0</v>
      </c>
      <c r="W40" s="145"/>
      <c r="X40" s="145"/>
      <c r="Y40" s="103">
        <f>IF(P40=0,0,IF(E28='work page'!$H$17,'Selection Basics'!Z24,INDEX('work page'!$H$17:I$28,MATCH('AccuSine Sizing Tool'!E28,'work page'!$H$17:$H$28,0),2)))</f>
        <v>0</v>
      </c>
      <c r="Z40" s="103">
        <f t="shared" si="3"/>
        <v>0</v>
      </c>
      <c r="AA40" s="103">
        <f t="shared" si="4"/>
        <v>0</v>
      </c>
      <c r="AB40" s="148">
        <f t="shared" si="15"/>
        <v>0</v>
      </c>
      <c r="AC40" s="103" t="str">
        <f t="shared" si="5"/>
        <v/>
      </c>
      <c r="AD40" s="103">
        <f>IF(E28='work page'!H$18,2/0.3*(0.95-IF(J28=0,0.95,J28))+1,IF(E28='work page'!H$20,2/0.3*(0.95-IF(J28=0,0.95,J28))+1,IF(E28='work page'!H$21,2/0.3*(0.95-IF(J28=0,0.95,J28))+1,IF(E28='work page'!H$22,2/0.3*(0.95-IF(J28=0,0.95,J28))+1,IF(E28='work page'!H$24,2/0.3*(0.95-IF(J28=0,0.95,J28))+1,1)))))</f>
        <v>1</v>
      </c>
      <c r="AH40" s="150" t="s">
        <v>276</v>
      </c>
      <c r="AI40" s="151" t="s">
        <v>180</v>
      </c>
      <c r="AL40" s="103">
        <f t="shared" si="6"/>
        <v>0</v>
      </c>
      <c r="AM40" s="103">
        <f t="shared" si="7"/>
        <v>0</v>
      </c>
      <c r="BA40" s="148">
        <f t="shared" si="8"/>
        <v>0</v>
      </c>
      <c r="BB40" s="103">
        <f>IF($BA38=$BA40,$B$26,0)</f>
        <v>0</v>
      </c>
      <c r="BC40" s="103">
        <f>IF($BA39=$BA40,$B$27,0)</f>
        <v>0</v>
      </c>
      <c r="BD40" s="103">
        <f>IF($BA40&gt;0,$B28,0)</f>
        <v>0</v>
      </c>
      <c r="BE40" s="103">
        <f>IF($BA$41=$BA40,$B$29,0)</f>
        <v>0</v>
      </c>
      <c r="BF40" s="103">
        <f>IF($BA42=$BA40,$B$30,0)</f>
        <v>0</v>
      </c>
      <c r="BG40" s="103">
        <f>IF($BA43=$BA40,$B$31,0)</f>
        <v>0</v>
      </c>
      <c r="BH40" s="103">
        <f>IF($BA44=$BA40,$B$32,0)</f>
        <v>0</v>
      </c>
      <c r="BI40" s="103">
        <f>IF($BA45=$BA40,$B$33,0)</f>
        <v>0</v>
      </c>
      <c r="BJ40" s="103">
        <f>IF($BA46=$BA40,$B$34,0)</f>
        <v>0</v>
      </c>
      <c r="BK40" s="103">
        <f>IF($BA47=$BA40,$B$35,0)</f>
        <v>0</v>
      </c>
      <c r="BL40" s="103">
        <f t="shared" si="16"/>
        <v>0</v>
      </c>
      <c r="BM40" s="103">
        <f>IF(BD40=0,0,IF(BL40=BD40,1,BL40))</f>
        <v>0</v>
      </c>
    </row>
    <row r="41" spans="1:65" ht="18.5" x14ac:dyDescent="0.45">
      <c r="A41" s="402">
        <f>A40+1</f>
        <v>12</v>
      </c>
      <c r="B41" s="413"/>
      <c r="C41" s="414"/>
      <c r="D41" s="415"/>
      <c r="E41" s="416"/>
      <c r="F41" s="417"/>
      <c r="G41" s="377"/>
      <c r="H41" s="635" t="s">
        <v>204</v>
      </c>
      <c r="I41" s="636">
        <v>0.08</v>
      </c>
      <c r="J41" s="376"/>
      <c r="M41" s="652">
        <f t="shared" si="9"/>
        <v>2501</v>
      </c>
      <c r="N41" s="142">
        <f t="shared" si="10"/>
        <v>2501</v>
      </c>
      <c r="O41" s="145">
        <f t="shared" si="1"/>
        <v>0</v>
      </c>
      <c r="P41" s="145">
        <f t="shared" si="2"/>
        <v>0</v>
      </c>
      <c r="Q41" s="147">
        <f>IF(O41=0,0,'Selection Basics'!Z54)*AD41</f>
        <v>0</v>
      </c>
      <c r="R41" s="145">
        <f>'Selection Basics'!P25</f>
        <v>0</v>
      </c>
      <c r="S41" s="145">
        <f t="shared" si="11"/>
        <v>0</v>
      </c>
      <c r="T41" s="145">
        <f t="shared" si="12"/>
        <v>0</v>
      </c>
      <c r="U41" s="145">
        <f t="shared" si="13"/>
        <v>0</v>
      </c>
      <c r="V41" s="145">
        <f t="shared" si="14"/>
        <v>0</v>
      </c>
      <c r="W41" s="145"/>
      <c r="X41" s="145"/>
      <c r="Y41" s="103">
        <f>IF(P41=0,0,IF(E29='work page'!$H$17,'Selection Basics'!Z25,INDEX('work page'!$H$17:I$28,MATCH('AccuSine Sizing Tool'!E29,'work page'!$H$17:$H$28,0),2)))</f>
        <v>0</v>
      </c>
      <c r="Z41" s="103">
        <f t="shared" si="3"/>
        <v>0</v>
      </c>
      <c r="AA41" s="103">
        <f t="shared" si="4"/>
        <v>0</v>
      </c>
      <c r="AB41" s="148">
        <f t="shared" si="15"/>
        <v>0</v>
      </c>
      <c r="AC41" s="103" t="str">
        <f t="shared" si="5"/>
        <v/>
      </c>
      <c r="AD41" s="103">
        <f>IF(E29='work page'!H$18,2/0.3*(0.95-IF(J29=0,0.95,J29))+1,IF(E29='work page'!H$20,2/0.3*(0.95-IF(J29=0,0.95,J29))+1,IF(E29='work page'!H$21,2/0.3*(0.95-IF(J29=0,0.95,J29))+1,IF(E29='work page'!H$22,2/0.3*(0.95-IF(J29=0,0.95,J29))+1,IF(E29='work page'!H$24,2/0.3*(0.95-IF(J29=0,0.95,J29))+1,1)))))</f>
        <v>1</v>
      </c>
      <c r="AH41" s="152">
        <v>0</v>
      </c>
      <c r="AI41" s="153">
        <v>0.35</v>
      </c>
      <c r="AL41" s="103">
        <f t="shared" si="6"/>
        <v>0</v>
      </c>
      <c r="AM41" s="103">
        <f t="shared" si="7"/>
        <v>0</v>
      </c>
      <c r="BA41" s="148">
        <f t="shared" si="8"/>
        <v>0</v>
      </c>
      <c r="BB41" s="103">
        <f t="shared" ref="BB41:BB47" si="17">IF($BA$38=$BA41,$B$26,0)</f>
        <v>0</v>
      </c>
      <c r="BC41" s="103">
        <f t="shared" ref="BC41:BC47" si="18">IF($BA$39=$BA41,$B$27,0)</f>
        <v>0</v>
      </c>
      <c r="BD41" s="103">
        <f t="shared" ref="BD41:BD47" si="19">IF($BA$40=$BA41,$B$28,0)</f>
        <v>0</v>
      </c>
      <c r="BE41" s="103">
        <f>IF($BA41&gt;0,$B29,0)</f>
        <v>0</v>
      </c>
      <c r="BF41" s="103">
        <f>IF($BA$42=$BA41,$B$30,0)</f>
        <v>0</v>
      </c>
      <c r="BG41" s="103">
        <f>IF($BA$43=$BA41,$B$31,0)</f>
        <v>0</v>
      </c>
      <c r="BH41" s="103">
        <f>IF($BA$44=$BA41,$B$32,0)</f>
        <v>0</v>
      </c>
      <c r="BI41" s="103">
        <f>IF($BA$45=$BA41,$B$33,0)</f>
        <v>0</v>
      </c>
      <c r="BJ41" s="103">
        <f>IF($BA$46=$BA41,$B$34,0)</f>
        <v>0</v>
      </c>
      <c r="BK41" s="103">
        <f t="shared" ref="BK41:BK46" si="20">IF($BA$47=$BA41,$B$35,0)</f>
        <v>0</v>
      </c>
      <c r="BL41" s="103">
        <f t="shared" si="16"/>
        <v>0</v>
      </c>
      <c r="BM41" s="103">
        <f>IF(BE41=0,0,IF(BL41=BE41,1,BL41))</f>
        <v>0</v>
      </c>
    </row>
    <row r="42" spans="1:65" ht="18.5" x14ac:dyDescent="0.45">
      <c r="A42" s="418">
        <f>A41+1</f>
        <v>13</v>
      </c>
      <c r="B42" s="419"/>
      <c r="C42" s="420"/>
      <c r="D42" s="421"/>
      <c r="E42" s="422"/>
      <c r="F42" s="423"/>
      <c r="G42" s="411"/>
      <c r="H42" s="633" t="s">
        <v>205</v>
      </c>
      <c r="I42" s="637">
        <v>0.12</v>
      </c>
      <c r="J42" s="392"/>
      <c r="K42" s="238"/>
      <c r="M42" s="652">
        <f t="shared" si="9"/>
        <v>2501</v>
      </c>
      <c r="N42" s="142">
        <f t="shared" si="10"/>
        <v>2501</v>
      </c>
      <c r="O42" s="145">
        <f t="shared" si="1"/>
        <v>0</v>
      </c>
      <c r="P42" s="145">
        <f t="shared" si="2"/>
        <v>0</v>
      </c>
      <c r="Q42" s="147">
        <f>IF(O42=0,0,'Selection Basics'!Z55)*AD42</f>
        <v>0</v>
      </c>
      <c r="R42" s="145">
        <f>'Selection Basics'!P26</f>
        <v>0</v>
      </c>
      <c r="S42" s="145">
        <f t="shared" si="11"/>
        <v>0</v>
      </c>
      <c r="T42" s="145">
        <f t="shared" si="12"/>
        <v>0</v>
      </c>
      <c r="U42" s="145">
        <f t="shared" si="13"/>
        <v>0</v>
      </c>
      <c r="V42" s="145">
        <f t="shared" si="14"/>
        <v>0</v>
      </c>
      <c r="W42" s="145"/>
      <c r="X42" s="145"/>
      <c r="Y42" s="103">
        <f>IF(P42=0,0,IF(E30='work page'!$H$17,'Selection Basics'!Z26,INDEX('work page'!$H$17:I$28,MATCH('AccuSine Sizing Tool'!E30,'work page'!$H$17:$H$28,0),2)))</f>
        <v>0</v>
      </c>
      <c r="Z42" s="103">
        <f t="shared" si="3"/>
        <v>0</v>
      </c>
      <c r="AA42" s="103">
        <f t="shared" si="4"/>
        <v>0</v>
      </c>
      <c r="AB42" s="148">
        <f t="shared" si="15"/>
        <v>0</v>
      </c>
      <c r="AC42" s="103" t="str">
        <f t="shared" si="5"/>
        <v/>
      </c>
      <c r="AD42" s="103">
        <f>IF(E30='work page'!H$18,2/0.3*(0.95-IF(J30=0,0.95,J30))+1,IF(E30='work page'!H$20,2/0.3*(0.95-IF(J30=0,0.95,J30))+1,IF(E30='work page'!H$21,2/0.3*(0.95-IF(J30=0,0.95,J30))+1,IF(E30='work page'!H$22,2/0.3*(0.95-IF(J30=0,0.95,J30))+1,IF(E30='work page'!H$24,2/0.3*(0.95-IF(J30=0,0.95,J30))+1,1)))))</f>
        <v>1</v>
      </c>
      <c r="AH42" s="152">
        <v>30</v>
      </c>
      <c r="AI42" s="153">
        <v>0.6</v>
      </c>
      <c r="AL42" s="103">
        <f t="shared" si="6"/>
        <v>0</v>
      </c>
      <c r="AM42" s="103">
        <f t="shared" si="7"/>
        <v>0</v>
      </c>
      <c r="BA42" s="148">
        <f t="shared" si="8"/>
        <v>0</v>
      </c>
      <c r="BB42" s="103">
        <f t="shared" si="17"/>
        <v>0</v>
      </c>
      <c r="BC42" s="103">
        <f t="shared" si="18"/>
        <v>0</v>
      </c>
      <c r="BD42" s="103">
        <f t="shared" si="19"/>
        <v>0</v>
      </c>
      <c r="BE42" s="103">
        <f t="shared" ref="BE42:BE47" si="21">IF($BA$41=$BA42,$B$29,0)</f>
        <v>0</v>
      </c>
      <c r="BF42" s="103">
        <f>IF($BA42&gt;0,$B30,0)</f>
        <v>0</v>
      </c>
      <c r="BG42" s="103">
        <f>IF($BA$43=$BA42,$B$31,0)</f>
        <v>0</v>
      </c>
      <c r="BH42" s="103">
        <f>IF($BA$44=$BA42,$B$32,0)</f>
        <v>0</v>
      </c>
      <c r="BI42" s="103">
        <f>IF($BA$45=$BA42,$B$33,0)</f>
        <v>0</v>
      </c>
      <c r="BJ42" s="103">
        <f>IF($BA$46=$BA42,$B$34,0)</f>
        <v>0</v>
      </c>
      <c r="BK42" s="103">
        <f t="shared" si="20"/>
        <v>0</v>
      </c>
      <c r="BL42" s="103">
        <f t="shared" si="16"/>
        <v>0</v>
      </c>
      <c r="BM42" s="103">
        <f>IF(BF42=0,0,IF(BL42=BF42,1,BL42))</f>
        <v>0</v>
      </c>
    </row>
    <row r="43" spans="1:65" ht="18.5" x14ac:dyDescent="0.45">
      <c r="A43" s="402">
        <f>A42+1</f>
        <v>14</v>
      </c>
      <c r="B43" s="413"/>
      <c r="C43" s="414"/>
      <c r="D43" s="415"/>
      <c r="E43" s="416"/>
      <c r="F43" s="417"/>
      <c r="G43" s="377"/>
      <c r="H43" s="635" t="s">
        <v>206</v>
      </c>
      <c r="I43" s="636">
        <v>0.15</v>
      </c>
      <c r="J43" s="376"/>
      <c r="M43" s="652">
        <f>IF($N$36=0,2501,IF(P43=0,2501,$N$36/P43))</f>
        <v>2501</v>
      </c>
      <c r="N43" s="142">
        <f t="shared" si="10"/>
        <v>2501</v>
      </c>
      <c r="O43" s="145">
        <f t="shared" si="1"/>
        <v>0</v>
      </c>
      <c r="P43" s="145">
        <f t="shared" si="2"/>
        <v>0</v>
      </c>
      <c r="Q43" s="147">
        <f>IF(O43=0,0,'Selection Basics'!Z56)*AD43</f>
        <v>0</v>
      </c>
      <c r="R43" s="145">
        <f>'Selection Basics'!P27</f>
        <v>0</v>
      </c>
      <c r="S43" s="145">
        <f t="shared" si="11"/>
        <v>0</v>
      </c>
      <c r="T43" s="145">
        <f t="shared" si="12"/>
        <v>0</v>
      </c>
      <c r="U43" s="145">
        <f t="shared" si="13"/>
        <v>0</v>
      </c>
      <c r="V43" s="145">
        <f t="shared" si="14"/>
        <v>0</v>
      </c>
      <c r="W43" s="145"/>
      <c r="X43" s="145"/>
      <c r="Y43" s="103">
        <f>IF(P43=0,0,IF(E31='work page'!$H$17,'Selection Basics'!Z27,INDEX('work page'!$H$17:I$28,MATCH('AccuSine Sizing Tool'!E31,'work page'!$H$17:$H$28,0),2)))</f>
        <v>0</v>
      </c>
      <c r="Z43" s="103">
        <f t="shared" si="3"/>
        <v>0</v>
      </c>
      <c r="AA43" s="103">
        <f t="shared" si="4"/>
        <v>0</v>
      </c>
      <c r="AB43" s="148">
        <f t="shared" si="15"/>
        <v>0</v>
      </c>
      <c r="AC43" s="103" t="str">
        <f t="shared" si="5"/>
        <v/>
      </c>
      <c r="AD43" s="103">
        <f>IF(E31='work page'!H$18,2/0.3*(0.95-IF(J31=0,0.95,J31))+1,IF(E31='work page'!H$20,2/0.3*(0.95-IF(J31=0,0.95,J31))+1,IF(E31='work page'!H$21,2/0.3*(0.95-IF(J31=0,0.95,J31))+1,IF(E31='work page'!H$22,2/0.3*(0.95-IF(J31=0,0.95,J31))+1,IF(E31='work page'!H$24,2/0.3*(0.95-IF(J31=0,0.95,J31))+1,1)))))</f>
        <v>1</v>
      </c>
      <c r="AH43" s="152">
        <v>40</v>
      </c>
      <c r="AI43" s="153">
        <v>0.74</v>
      </c>
      <c r="AL43" s="103">
        <f t="shared" si="6"/>
        <v>0</v>
      </c>
      <c r="AM43" s="103">
        <f t="shared" si="7"/>
        <v>0</v>
      </c>
      <c r="BA43" s="148">
        <f t="shared" si="8"/>
        <v>0</v>
      </c>
      <c r="BB43" s="103">
        <f t="shared" si="17"/>
        <v>0</v>
      </c>
      <c r="BC43" s="103">
        <f t="shared" si="18"/>
        <v>0</v>
      </c>
      <c r="BD43" s="103">
        <f t="shared" si="19"/>
        <v>0</v>
      </c>
      <c r="BE43" s="103">
        <f t="shared" si="21"/>
        <v>0</v>
      </c>
      <c r="BF43" s="103">
        <f>IF($BA$42=$BA43,$B$30,0)</f>
        <v>0</v>
      </c>
      <c r="BG43" s="103">
        <f>IF($BA43&gt;0,$B31,0)</f>
        <v>0</v>
      </c>
      <c r="BH43" s="103">
        <f>IF($BA$44=$BA43,$B$32,0)</f>
        <v>0</v>
      </c>
      <c r="BI43" s="103">
        <f>IF($BA$45=$BA43,$B$33,0)</f>
        <v>0</v>
      </c>
      <c r="BJ43" s="103">
        <f>IF($BA$46=$BA43,$B$34,0)</f>
        <v>0</v>
      </c>
      <c r="BK43" s="103">
        <f t="shared" si="20"/>
        <v>0</v>
      </c>
      <c r="BL43" s="103">
        <f t="shared" si="16"/>
        <v>0</v>
      </c>
      <c r="BM43" s="103">
        <f>IF(BG43=0,0,IF(BL43=BG43,1,BL43))</f>
        <v>0</v>
      </c>
    </row>
    <row r="44" spans="1:65" ht="19" thickBot="1" x14ac:dyDescent="0.5">
      <c r="A44" s="405">
        <f>A43+1</f>
        <v>15</v>
      </c>
      <c r="B44" s="424"/>
      <c r="C44" s="425"/>
      <c r="D44" s="426"/>
      <c r="E44" s="427"/>
      <c r="F44" s="428"/>
      <c r="G44" s="377"/>
      <c r="H44" s="638" t="s">
        <v>207</v>
      </c>
      <c r="I44" s="639">
        <v>0.2</v>
      </c>
      <c r="J44" s="376"/>
      <c r="M44" s="652">
        <f t="shared" si="9"/>
        <v>2501</v>
      </c>
      <c r="N44" s="142">
        <f t="shared" si="10"/>
        <v>2501</v>
      </c>
      <c r="O44" s="145">
        <f t="shared" si="1"/>
        <v>0</v>
      </c>
      <c r="P44" s="145">
        <f t="shared" si="2"/>
        <v>0</v>
      </c>
      <c r="Q44" s="147">
        <f>IF(O44=0,0,'Selection Basics'!Z57)*AD44</f>
        <v>0</v>
      </c>
      <c r="R44" s="145">
        <f>'Selection Basics'!P28</f>
        <v>0</v>
      </c>
      <c r="S44" s="145">
        <f t="shared" si="11"/>
        <v>0</v>
      </c>
      <c r="T44" s="145">
        <f t="shared" si="12"/>
        <v>0</v>
      </c>
      <c r="U44" s="145">
        <f t="shared" si="13"/>
        <v>0</v>
      </c>
      <c r="V44" s="145">
        <f t="shared" si="14"/>
        <v>0</v>
      </c>
      <c r="W44" s="145"/>
      <c r="X44" s="145"/>
      <c r="Y44" s="103">
        <f>IF(P44=0,0,IF(E32='work page'!$H$17,'Selection Basics'!Z28,INDEX('work page'!$H$17:I$28,MATCH('AccuSine Sizing Tool'!E32,'work page'!$H$17:$H$28,0),2)))</f>
        <v>0</v>
      </c>
      <c r="Z44" s="103">
        <f t="shared" si="3"/>
        <v>0</v>
      </c>
      <c r="AA44" s="103">
        <f t="shared" si="4"/>
        <v>0</v>
      </c>
      <c r="AB44" s="148">
        <f t="shared" si="15"/>
        <v>0</v>
      </c>
      <c r="AC44" s="103" t="str">
        <f t="shared" si="5"/>
        <v/>
      </c>
      <c r="AD44" s="103">
        <f>IF(E32='work page'!H$18,2/0.3*(0.95-IF(J32=0,0.95,J32))+1,IF(E32='work page'!H$20,2/0.3*(0.95-IF(J32=0,0.95,J32))+1,IF(E32='work page'!H$21,2/0.3*(0.95-IF(J32=0,0.95,J32))+1,IF(E32='work page'!H$22,2/0.3*(0.95-IF(J32=0,0.95,J32))+1,IF(E32='work page'!H$24,2/0.3*(0.95-IF(J32=0,0.95,J32))+1,1)))))</f>
        <v>1</v>
      </c>
      <c r="AH44" s="152">
        <v>50</v>
      </c>
      <c r="AI44" s="153">
        <v>0.84</v>
      </c>
      <c r="AL44" s="103">
        <f t="shared" si="6"/>
        <v>0</v>
      </c>
      <c r="AM44" s="103">
        <f t="shared" si="7"/>
        <v>0</v>
      </c>
      <c r="BA44" s="148">
        <f t="shared" si="8"/>
        <v>0</v>
      </c>
      <c r="BB44" s="103">
        <f t="shared" si="17"/>
        <v>0</v>
      </c>
      <c r="BC44" s="103">
        <f t="shared" si="18"/>
        <v>0</v>
      </c>
      <c r="BD44" s="103">
        <f t="shared" si="19"/>
        <v>0</v>
      </c>
      <c r="BE44" s="103">
        <f t="shared" si="21"/>
        <v>0</v>
      </c>
      <c r="BF44" s="103">
        <f>IF($BA$42=$BA44,$B$30,0)</f>
        <v>0</v>
      </c>
      <c r="BG44" s="103">
        <f>IF($BA$43=$BA44,$B$31,0)</f>
        <v>0</v>
      </c>
      <c r="BH44" s="103">
        <f>IF($BA44&gt;0,$B32,0)</f>
        <v>0</v>
      </c>
      <c r="BI44" s="103">
        <f>IF($BA$45=$BA44,$B$33,0)</f>
        <v>0</v>
      </c>
      <c r="BJ44" s="103">
        <f>IF($BA$46=$BA44,$B$34,0)</f>
        <v>0</v>
      </c>
      <c r="BK44" s="103">
        <f t="shared" si="20"/>
        <v>0</v>
      </c>
      <c r="BL44" s="103">
        <f t="shared" si="16"/>
        <v>0</v>
      </c>
      <c r="BM44" s="103">
        <f>IF(BH44=0,0,IF(BL44=BH44,1,BL44))</f>
        <v>0</v>
      </c>
    </row>
    <row r="45" spans="1:65" ht="13" x14ac:dyDescent="0.3">
      <c r="A45" s="376"/>
      <c r="B45" s="376"/>
      <c r="C45" s="376"/>
      <c r="D45" s="376"/>
      <c r="E45" s="377"/>
      <c r="F45" s="377"/>
      <c r="G45" s="377"/>
      <c r="H45" s="376"/>
      <c r="I45" s="376"/>
      <c r="J45" s="376"/>
      <c r="M45" s="652">
        <f t="shared" si="9"/>
        <v>2501</v>
      </c>
      <c r="N45" s="142">
        <f t="shared" si="10"/>
        <v>2501</v>
      </c>
      <c r="O45" s="145">
        <f t="shared" si="1"/>
        <v>0</v>
      </c>
      <c r="P45" s="145">
        <f t="shared" si="2"/>
        <v>0</v>
      </c>
      <c r="Q45" s="147">
        <f>IF(O45=0,0,'Selection Basics'!Z58)*AD45</f>
        <v>0</v>
      </c>
      <c r="R45" s="145">
        <f>'Selection Basics'!P29</f>
        <v>0</v>
      </c>
      <c r="S45" s="145">
        <f t="shared" si="11"/>
        <v>0</v>
      </c>
      <c r="T45" s="145">
        <f t="shared" si="12"/>
        <v>0</v>
      </c>
      <c r="U45" s="145">
        <f t="shared" si="13"/>
        <v>0</v>
      </c>
      <c r="V45" s="145">
        <f t="shared" si="14"/>
        <v>0</v>
      </c>
      <c r="W45" s="145"/>
      <c r="X45" s="145"/>
      <c r="Y45" s="103">
        <f>IF(P45=0,0,IF(E33='work page'!$H$17,'Selection Basics'!Z29,INDEX('work page'!$H$17:I$28,MATCH('AccuSine Sizing Tool'!E33,'work page'!$H$17:$H$28,0),2)))</f>
        <v>0</v>
      </c>
      <c r="Z45" s="103">
        <f t="shared" si="3"/>
        <v>0</v>
      </c>
      <c r="AA45" s="103">
        <f t="shared" si="4"/>
        <v>0</v>
      </c>
      <c r="AB45" s="148">
        <f t="shared" si="15"/>
        <v>0</v>
      </c>
      <c r="AC45" s="103" t="str">
        <f t="shared" si="5"/>
        <v/>
      </c>
      <c r="AD45" s="103">
        <f>IF(E33='work page'!H$18,2/0.3*(0.95-IF(J33=0,0.95,J33))+1,IF(E33='work page'!H$20,2/0.3*(0.95-IF(J33=0,0.95,J33))+1,IF(E33='work page'!H$21,2/0.3*(0.95-IF(J33=0,0.95,J33))+1,IF(E33='work page'!H$22,2/0.3*(0.95-IF(J33=0,0.95,J33))+1,IF(E33='work page'!H$24,2/0.3*(0.95-IF(J33=0,0.95,J33))+1,1)))))</f>
        <v>1</v>
      </c>
      <c r="AH45" s="152">
        <v>75</v>
      </c>
      <c r="AI45" s="153">
        <v>0.97</v>
      </c>
      <c r="AL45" s="103">
        <f t="shared" si="6"/>
        <v>0</v>
      </c>
      <c r="AM45" s="103">
        <f t="shared" si="7"/>
        <v>0</v>
      </c>
      <c r="BA45" s="148">
        <f t="shared" si="8"/>
        <v>0</v>
      </c>
      <c r="BB45" s="103">
        <f t="shared" si="17"/>
        <v>0</v>
      </c>
      <c r="BC45" s="103">
        <f t="shared" si="18"/>
        <v>0</v>
      </c>
      <c r="BD45" s="103">
        <f t="shared" si="19"/>
        <v>0</v>
      </c>
      <c r="BE45" s="103">
        <f t="shared" si="21"/>
        <v>0</v>
      </c>
      <c r="BF45" s="103">
        <f>IF($BA$42=$BA45,$B$30,0)</f>
        <v>0</v>
      </c>
      <c r="BG45" s="103">
        <f>IF($BA$43=$BA45,$B$31,0)</f>
        <v>0</v>
      </c>
      <c r="BH45" s="103">
        <f>IF($BA$44=$BA45,$B$32,0)</f>
        <v>0</v>
      </c>
      <c r="BI45" s="103">
        <f>IF($BA45&gt;0,$B33,0)</f>
        <v>0</v>
      </c>
      <c r="BJ45" s="103">
        <f>IF($BA$46=$BA45,$B$34,0)</f>
        <v>0</v>
      </c>
      <c r="BK45" s="103">
        <f t="shared" si="20"/>
        <v>0</v>
      </c>
      <c r="BL45" s="103">
        <f t="shared" si="16"/>
        <v>0</v>
      </c>
      <c r="BM45" s="103">
        <f>IF(BI45=0,0,IF(BL45=BI45,1,BL45))</f>
        <v>0</v>
      </c>
    </row>
    <row r="46" spans="1:65" ht="18" customHeight="1" x14ac:dyDescent="0.3">
      <c r="A46" s="376"/>
      <c r="B46" s="429"/>
      <c r="C46" s="430"/>
      <c r="D46" s="430"/>
      <c r="E46" s="767" t="s">
        <v>120</v>
      </c>
      <c r="F46" s="768"/>
      <c r="G46" s="431">
        <f>'Selection Basics'!P32</f>
        <v>0</v>
      </c>
      <c r="H46" s="432" t="s">
        <v>97</v>
      </c>
      <c r="I46" s="377"/>
      <c r="J46" s="376"/>
      <c r="M46" s="652">
        <f t="shared" si="9"/>
        <v>2501</v>
      </c>
      <c r="N46" s="142">
        <f t="shared" si="10"/>
        <v>2501</v>
      </c>
      <c r="O46" s="145">
        <f t="shared" si="1"/>
        <v>0</v>
      </c>
      <c r="P46" s="145">
        <f t="shared" si="2"/>
        <v>0</v>
      </c>
      <c r="Q46" s="147">
        <f>IF(O46=0,0,'Selection Basics'!Z59)*AD46</f>
        <v>0</v>
      </c>
      <c r="R46" s="145">
        <f>'Selection Basics'!P30</f>
        <v>0</v>
      </c>
      <c r="S46" s="145">
        <f t="shared" si="11"/>
        <v>0</v>
      </c>
      <c r="T46" s="145">
        <f t="shared" si="12"/>
        <v>0</v>
      </c>
      <c r="U46" s="145">
        <f t="shared" si="13"/>
        <v>0</v>
      </c>
      <c r="V46" s="145">
        <f t="shared" si="14"/>
        <v>0</v>
      </c>
      <c r="W46" s="145"/>
      <c r="X46" s="145"/>
      <c r="Y46" s="103">
        <f>IF(P46=0,0,IF(E34='work page'!$H$17,'Selection Basics'!Z30,INDEX('work page'!$H$17:I$28,MATCH('AccuSine Sizing Tool'!E34,'work page'!$H$17:$H$28,0),2)))</f>
        <v>0</v>
      </c>
      <c r="Z46" s="103">
        <f t="shared" si="3"/>
        <v>0</v>
      </c>
      <c r="AA46" s="103">
        <f t="shared" si="4"/>
        <v>0</v>
      </c>
      <c r="AB46" s="148">
        <f t="shared" si="15"/>
        <v>0</v>
      </c>
      <c r="AC46" s="103" t="str">
        <f t="shared" si="5"/>
        <v/>
      </c>
      <c r="AD46" s="103">
        <f>IF(E34='work page'!H$18,2/0.3*(0.95-IF(J34=0,0.95,J34))+1,IF(E34='work page'!H$20,2/0.3*(0.95-IF(J34=0,0.95,J34))+1,IF(E34='work page'!H$21,2/0.3*(0.95-IF(J34=0,0.95,J34))+1,IF(E34='work page'!H$22,2/0.3*(0.95-IF(J34=0,0.95,J34))+1,IF(E34='work page'!H$24,2/0.3*(0.95-IF(J34=0,0.95,J34))+1,1)))))</f>
        <v>1</v>
      </c>
      <c r="AH46" s="152">
        <v>100</v>
      </c>
      <c r="AI46" s="153">
        <v>1</v>
      </c>
      <c r="AL46" s="103">
        <f t="shared" si="6"/>
        <v>0</v>
      </c>
      <c r="AM46" s="103">
        <f t="shared" si="7"/>
        <v>0</v>
      </c>
      <c r="BA46" s="148">
        <f t="shared" si="8"/>
        <v>0</v>
      </c>
      <c r="BB46" s="103">
        <f t="shared" si="17"/>
        <v>0</v>
      </c>
      <c r="BC46" s="103">
        <f t="shared" si="18"/>
        <v>0</v>
      </c>
      <c r="BD46" s="103">
        <f t="shared" si="19"/>
        <v>0</v>
      </c>
      <c r="BE46" s="103">
        <f t="shared" si="21"/>
        <v>0</v>
      </c>
      <c r="BF46" s="103">
        <f>IF($BA$42=$BA46,$B$30,0)</f>
        <v>0</v>
      </c>
      <c r="BG46" s="103">
        <f>IF($BA$43=$BA46,$B$31,0)</f>
        <v>0</v>
      </c>
      <c r="BH46" s="103">
        <f>IF($BA$44=$BA46,$B$32,0)</f>
        <v>0</v>
      </c>
      <c r="BI46" s="103">
        <f>IF($BA$45=$BA46,$B$33,0)</f>
        <v>0</v>
      </c>
      <c r="BJ46" s="103">
        <f>IF($BA46&gt;0,$B34,0)</f>
        <v>0</v>
      </c>
      <c r="BK46" s="103">
        <f t="shared" si="20"/>
        <v>0</v>
      </c>
      <c r="BL46" s="103">
        <f t="shared" si="16"/>
        <v>0</v>
      </c>
      <c r="BM46" s="103">
        <f>IF(BJ46=0,0,IF(BL46=BJ46,1,BL46))</f>
        <v>0</v>
      </c>
    </row>
    <row r="47" spans="1:65" ht="13" x14ac:dyDescent="0.3">
      <c r="A47" s="376"/>
      <c r="B47" s="429"/>
      <c r="C47" s="430"/>
      <c r="D47" s="433"/>
      <c r="E47" s="433"/>
      <c r="F47" s="433"/>
      <c r="G47" s="434"/>
      <c r="H47" s="435"/>
      <c r="I47" s="377"/>
      <c r="J47" s="376"/>
      <c r="M47" s="652">
        <f t="shared" si="9"/>
        <v>2501</v>
      </c>
      <c r="N47" s="142">
        <f t="shared" si="10"/>
        <v>2501</v>
      </c>
      <c r="O47" s="145">
        <f t="shared" si="1"/>
        <v>0</v>
      </c>
      <c r="P47" s="145">
        <f t="shared" si="2"/>
        <v>0</v>
      </c>
      <c r="Q47" s="147">
        <f>IF(O47=0,0,'Selection Basics'!Z60)*AD47</f>
        <v>0</v>
      </c>
      <c r="R47" s="145">
        <f>'Selection Basics'!P31</f>
        <v>0</v>
      </c>
      <c r="S47" s="145">
        <f t="shared" si="11"/>
        <v>0</v>
      </c>
      <c r="T47" s="145">
        <f t="shared" si="12"/>
        <v>0</v>
      </c>
      <c r="U47" s="145">
        <f t="shared" si="13"/>
        <v>0</v>
      </c>
      <c r="V47" s="145">
        <f t="shared" si="14"/>
        <v>0</v>
      </c>
      <c r="W47" s="145"/>
      <c r="X47" s="145"/>
      <c r="Y47" s="103">
        <f>IF(P47=0,0,IF(E35='work page'!$H$17,'Selection Basics'!Z31,INDEX('work page'!$H$17:I$28,MATCH('AccuSine Sizing Tool'!E35,'work page'!$H$17:$H$28,0),2)))</f>
        <v>0</v>
      </c>
      <c r="Z47" s="103">
        <f t="shared" si="3"/>
        <v>0</v>
      </c>
      <c r="AA47" s="103">
        <f t="shared" si="4"/>
        <v>0</v>
      </c>
      <c r="AB47" s="148">
        <f t="shared" si="15"/>
        <v>0</v>
      </c>
      <c r="AC47" s="103" t="str">
        <f t="shared" si="5"/>
        <v/>
      </c>
      <c r="AD47" s="103">
        <f>IF(E35='work page'!H$18,2/0.3*(0.95-IF(J35=0,0.95,J35))+1,IF(E35='work page'!H$20,2/0.3*(0.95-IF(J35=0,0.95,J35))+1,IF(E35='work page'!H$21,2/0.3*(0.95-IF(J35=0,0.95,J35))+1,IF(E35='work page'!H$22,2/0.3*(0.95-IF(J35=0,0.95,J35))+1,IF(E35='work page'!H$24,2/0.3*(0.95-IF(J35=0,0.95,J35))+1,1)))))</f>
        <v>1</v>
      </c>
      <c r="AL47" s="103">
        <f t="shared" si="6"/>
        <v>0</v>
      </c>
      <c r="AM47" s="103">
        <f t="shared" si="7"/>
        <v>0</v>
      </c>
      <c r="BA47" s="148">
        <f t="shared" si="8"/>
        <v>0</v>
      </c>
      <c r="BB47" s="103">
        <f t="shared" si="17"/>
        <v>0</v>
      </c>
      <c r="BC47" s="103">
        <f t="shared" si="18"/>
        <v>0</v>
      </c>
      <c r="BD47" s="103">
        <f t="shared" si="19"/>
        <v>0</v>
      </c>
      <c r="BE47" s="103">
        <f t="shared" si="21"/>
        <v>0</v>
      </c>
      <c r="BF47" s="103">
        <f>IF($BA$42=$BA47,$B$30,0)</f>
        <v>0</v>
      </c>
      <c r="BG47" s="103">
        <f>IF($BA$43=$BA47,$B$31,0)</f>
        <v>0</v>
      </c>
      <c r="BH47" s="103">
        <f>IF($BA$44=$BA47,$B$32,0)</f>
        <v>0</v>
      </c>
      <c r="BI47" s="103">
        <f>IF($BA$45=$BA47,$B$33,0)</f>
        <v>0</v>
      </c>
      <c r="BJ47" s="103">
        <f>IF($BA$46=$BA47,$B$34,0)</f>
        <v>0</v>
      </c>
      <c r="BK47" s="103">
        <f>IF($BA47&gt;0,$B35,0)</f>
        <v>0</v>
      </c>
      <c r="BL47" s="103">
        <f t="shared" si="16"/>
        <v>0</v>
      </c>
      <c r="BM47" s="103">
        <f>IF(BK47=0,0,IF(BL47=BK47,1,BL47))</f>
        <v>0</v>
      </c>
    </row>
    <row r="48" spans="1:65" ht="15" customHeight="1" x14ac:dyDescent="0.3">
      <c r="A48" s="376"/>
      <c r="B48" s="429"/>
      <c r="C48" s="767" t="s">
        <v>0</v>
      </c>
      <c r="D48" s="768"/>
      <c r="E48" s="768"/>
      <c r="F48" s="768"/>
      <c r="G48" s="431">
        <f>'Selection Basics'!P33</f>
        <v>3</v>
      </c>
      <c r="H48" s="436"/>
      <c r="I48" s="377"/>
      <c r="J48" s="376"/>
      <c r="N48" s="146"/>
      <c r="O48" s="145">
        <f>P48*S36/1000*3^0.5</f>
        <v>0</v>
      </c>
      <c r="P48" s="145">
        <f>(S48^2+T48^2)^0.5</f>
        <v>0</v>
      </c>
      <c r="Q48" s="147" t="s">
        <v>35</v>
      </c>
      <c r="R48" s="145"/>
      <c r="S48" s="145">
        <f>SUM(S38:S47)</f>
        <v>0</v>
      </c>
      <c r="T48" s="145">
        <f>SUM(T38:T47)*AA49</f>
        <v>0</v>
      </c>
      <c r="U48" s="145">
        <f>SUM(U38:U47)</f>
        <v>0</v>
      </c>
      <c r="V48" s="145">
        <f>SUM(V38:V47)</f>
        <v>0</v>
      </c>
      <c r="W48" s="145" t="s">
        <v>154</v>
      </c>
      <c r="X48" s="154">
        <f>S$48*S$36*3^0.5/1000</f>
        <v>0</v>
      </c>
      <c r="Z48" s="155">
        <f>P48</f>
        <v>0</v>
      </c>
      <c r="AA48" s="103">
        <f>SUM(AA38:AA47)</f>
        <v>0</v>
      </c>
      <c r="AC48" s="103">
        <f>SUM(AC38:AC47)</f>
        <v>0</v>
      </c>
      <c r="AL48" s="103">
        <f>SUM(AL38:AL47)</f>
        <v>0</v>
      </c>
      <c r="AM48" s="103">
        <f>SUM(AM38:AM47)</f>
        <v>0</v>
      </c>
    </row>
    <row r="49" spans="1:56" ht="12.75" customHeight="1" thickBot="1" x14ac:dyDescent="0.35">
      <c r="A49" s="376"/>
      <c r="B49" s="437" t="str">
        <f>IF(T48=0,"",IF(G46=0,N4,IF(G46&lt;=2.1,N5,"")))</f>
        <v/>
      </c>
      <c r="C49" s="438"/>
      <c r="D49" s="438"/>
      <c r="E49" s="438"/>
      <c r="F49" s="438"/>
      <c r="G49" s="438"/>
      <c r="H49" s="438"/>
      <c r="I49" s="377"/>
      <c r="J49" s="376"/>
      <c r="O49" s="145"/>
      <c r="P49" s="145"/>
      <c r="S49" s="145"/>
      <c r="T49" s="148"/>
      <c r="U49" s="145"/>
      <c r="V49" s="145"/>
      <c r="W49" s="145" t="s">
        <v>170</v>
      </c>
      <c r="X49" s="155">
        <f>V48*S36*3^0.5/1000</f>
        <v>0</v>
      </c>
      <c r="Z49" s="145"/>
      <c r="AA49" s="130">
        <f>IF($AA$48&gt;8,0.97^8,0.97^($AA$48-1))</f>
        <v>1.0309278350515465</v>
      </c>
      <c r="AC49" s="103">
        <f>IF(P58=0,0,AC48/P58)</f>
        <v>0</v>
      </c>
    </row>
    <row r="50" spans="1:56" s="236" customFormat="1" ht="20.25" customHeight="1" x14ac:dyDescent="0.3">
      <c r="A50" s="376"/>
      <c r="B50" s="429"/>
      <c r="C50" s="430"/>
      <c r="D50" s="767" t="s">
        <v>1</v>
      </c>
      <c r="E50" s="768"/>
      <c r="F50" s="768"/>
      <c r="G50" s="439">
        <f>'work page'!C9</f>
        <v>2501</v>
      </c>
      <c r="H50" s="435" t="s">
        <v>157</v>
      </c>
      <c r="I50" s="377"/>
      <c r="J50" s="376"/>
      <c r="K50" s="103"/>
      <c r="M50" s="236" t="s">
        <v>181</v>
      </c>
      <c r="N50" s="236" t="s">
        <v>389</v>
      </c>
      <c r="O50" s="154" t="s">
        <v>318</v>
      </c>
      <c r="P50" s="154" t="s">
        <v>279</v>
      </c>
      <c r="Q50" s="236" t="s">
        <v>390</v>
      </c>
      <c r="R50" s="236" t="s">
        <v>270</v>
      </c>
      <c r="S50" s="154" t="s">
        <v>80</v>
      </c>
      <c r="T50" s="154"/>
      <c r="U50" s="154" t="s">
        <v>169</v>
      </c>
      <c r="V50" s="154" t="s">
        <v>159</v>
      </c>
      <c r="W50" s="154"/>
      <c r="X50" s="154"/>
      <c r="AC50" s="236">
        <f>IF(AC49=0,0,IF(AQ52&lt;0.707*AO58,1,IF(AC49&gt;0.5,11/5,1)))</f>
        <v>0</v>
      </c>
      <c r="AD50" s="160">
        <f>AC50*AC49</f>
        <v>0</v>
      </c>
      <c r="AE50" s="161" t="s">
        <v>273</v>
      </c>
      <c r="AF50" s="161" t="s">
        <v>274</v>
      </c>
      <c r="AG50" s="161" t="s">
        <v>277</v>
      </c>
      <c r="AH50" s="161" t="s">
        <v>278</v>
      </c>
      <c r="AI50" s="161" t="s">
        <v>272</v>
      </c>
      <c r="AM50" s="162"/>
      <c r="AN50" s="163"/>
      <c r="AO50" s="163" t="s">
        <v>327</v>
      </c>
      <c r="AP50" s="163" t="s">
        <v>326</v>
      </c>
      <c r="AQ50" s="163" t="s">
        <v>351</v>
      </c>
      <c r="AR50" s="163"/>
      <c r="AS50" s="163" t="s">
        <v>720</v>
      </c>
      <c r="AT50" s="163"/>
      <c r="AU50" s="163"/>
      <c r="AV50" s="163"/>
      <c r="AW50" s="164">
        <v>0.03</v>
      </c>
    </row>
    <row r="51" spans="1:56" ht="13" x14ac:dyDescent="0.3">
      <c r="A51" s="411"/>
      <c r="B51" s="411"/>
      <c r="C51" s="411"/>
      <c r="D51" s="411"/>
      <c r="E51" s="411"/>
      <c r="F51" s="411"/>
      <c r="G51" s="411"/>
      <c r="H51" s="411"/>
      <c r="I51" s="411"/>
      <c r="J51" s="411"/>
      <c r="M51" s="103">
        <f>IF($D40="",0,IF($D40="KW",$B40*$C40/$E40,$B40*$C40))</f>
        <v>0</v>
      </c>
      <c r="N51" s="103">
        <f>IF($D40="",0,IF($D40="KW",$B40*$C40,$B40*$C40*$E40))</f>
        <v>0</v>
      </c>
      <c r="O51" s="145">
        <f>M51*IF(F40=0,1,F40)</f>
        <v>0</v>
      </c>
      <c r="P51" s="145">
        <f>IF(R51=0,0,O51*1000/S$36/3^0.5)</f>
        <v>0</v>
      </c>
      <c r="Q51" s="103">
        <f>N51*F40</f>
        <v>0</v>
      </c>
      <c r="R51" s="103">
        <f>IF(AI51="",0,E40*AI51)</f>
        <v>0</v>
      </c>
      <c r="S51" s="145">
        <f>P51</f>
        <v>0</v>
      </c>
      <c r="T51" s="145"/>
      <c r="U51" s="145">
        <f>V51*TAN(ACOS(R51))</f>
        <v>0</v>
      </c>
      <c r="V51" s="145">
        <f>S51*R51</f>
        <v>0</v>
      </c>
      <c r="W51" s="149">
        <f>SQRT(U51^2+V51^2)</f>
        <v>0</v>
      </c>
      <c r="X51" s="145"/>
      <c r="Z51" s="147"/>
      <c r="AE51" s="152" t="str">
        <f>IF($F40="","",IF($F40&gt;75%,100,IF($F40&gt;50%,75,IF($F40&gt;40%,50,IF($F40&gt;30%,40,IF($F40&gt;0,30))))))</f>
        <v/>
      </c>
      <c r="AF51" s="152" t="str">
        <f>IF($F40="","",IF($F40&gt;75%,75,IF($F40&gt;50%,50,IF($F40&gt;40%,40,IF($F40&gt;30%,30,IF($F40&gt;30%,0))))))</f>
        <v/>
      </c>
      <c r="AG51" s="152" t="str">
        <f t="shared" ref="AG51:AG56" si="22">IF(AE51="","",VLOOKUP($AE51+1,$AH$40:$AI$46,2))</f>
        <v/>
      </c>
      <c r="AH51" s="152" t="str">
        <f t="shared" ref="AH51:AH56" si="23">IF(AF51="","",VLOOKUP($AF51+1,$AH$40:$AI$46,2))</f>
        <v/>
      </c>
      <c r="AI51" s="152" t="str">
        <f>IF(AE51="","",IF(AE51-F40*100=0,AG51,IF(AE51="","",AG51-((AE51-F40*100)*(AG51-AH51)/(AE51-AF51)))))</f>
        <v/>
      </c>
      <c r="AM51" s="168"/>
      <c r="AN51" s="169" t="s">
        <v>323</v>
      </c>
      <c r="AO51" s="170">
        <f>U59</f>
        <v>0</v>
      </c>
      <c r="AP51" s="293">
        <f>AO51*AT71</f>
        <v>0</v>
      </c>
      <c r="AQ51" s="169"/>
      <c r="AR51" s="169"/>
      <c r="AS51" s="171">
        <f>0.03*AT71</f>
        <v>0</v>
      </c>
      <c r="AT51" s="170">
        <f>IF(AT69=0,0,AS51/AT69)</f>
        <v>0</v>
      </c>
      <c r="AU51" s="169"/>
      <c r="AV51" s="169"/>
      <c r="AW51" s="172">
        <f>0.03*AT71</f>
        <v>0</v>
      </c>
      <c r="AX51" s="173"/>
      <c r="AY51" s="135"/>
    </row>
    <row r="52" spans="1:56" ht="13.5" thickBot="1" x14ac:dyDescent="0.35">
      <c r="A52" s="794" t="str">
        <f>IF(G50=0,"",IF(G50&lt;=15,N30,""))</f>
        <v/>
      </c>
      <c r="B52" s="794"/>
      <c r="C52" s="794"/>
      <c r="D52" s="794"/>
      <c r="E52" s="794"/>
      <c r="F52" s="794"/>
      <c r="G52" s="794"/>
      <c r="H52" s="440"/>
      <c r="I52" s="440"/>
      <c r="J52" s="440"/>
      <c r="K52" s="238"/>
      <c r="M52" s="103">
        <f>IF($D41="",0,IF($D41="KW",$B41*$C41/$E41,$B41*$C41))</f>
        <v>0</v>
      </c>
      <c r="N52" s="103">
        <f>IF($D41="",0,IF($D41="KW",$B41*$C41,$B41*$C41*$E41))</f>
        <v>0</v>
      </c>
      <c r="O52" s="145">
        <f>M52*IF(F41=0,1,F41)</f>
        <v>0</v>
      </c>
      <c r="P52" s="145">
        <f>IF(R52=0,0,O52*1000/S$36/3^0.5)</f>
        <v>0</v>
      </c>
      <c r="Q52" s="103">
        <f>N52*F41</f>
        <v>0</v>
      </c>
      <c r="R52" s="103">
        <f>IF(AI52="",0,E41*AI52)</f>
        <v>0</v>
      </c>
      <c r="S52" s="145">
        <f>P52</f>
        <v>0</v>
      </c>
      <c r="T52" s="145"/>
      <c r="U52" s="145">
        <f>V52*TAN(ACOS(R52))</f>
        <v>0</v>
      </c>
      <c r="V52" s="145">
        <f>S52*R52</f>
        <v>0</v>
      </c>
      <c r="W52" s="145"/>
      <c r="X52" s="145"/>
      <c r="AB52" s="178"/>
      <c r="AE52" s="152" t="str">
        <f>IF($F41="","",IF($F41&gt;75%,100,IF($F41&gt;50%,75,IF($F41&gt;40%,50,IF($F41&gt;30%,40,IF($F41&gt;0,30))))))</f>
        <v/>
      </c>
      <c r="AF52" s="152" t="str">
        <f>IF($F41="","",IF($F41&gt;75%,75,IF($F41&gt;50%,50,IF($F41&gt;40%,40,IF($F41&gt;30%,30,IF($F41&gt;30%,0))))))</f>
        <v/>
      </c>
      <c r="AG52" s="152" t="str">
        <f t="shared" si="22"/>
        <v/>
      </c>
      <c r="AH52" s="152" t="str">
        <f t="shared" si="23"/>
        <v/>
      </c>
      <c r="AI52" s="152" t="str">
        <f>IF(AE52="","",IF(AE52-F41*100=0,AG52,IF(AE52="","",AG52-((AE52-F41*100)*(AG52-AH52)/(AE52-AF52)))))</f>
        <v/>
      </c>
      <c r="AM52" s="168"/>
      <c r="AN52" s="107" t="s">
        <v>320</v>
      </c>
      <c r="AO52" s="145">
        <f>IF(AO51&gt;=AT67,0,AV67*(AT68-AO51)/(AT68-AT51))</f>
        <v>0</v>
      </c>
      <c r="AP52" s="179" t="s">
        <v>35</v>
      </c>
      <c r="AQ52" s="103">
        <f>AO52*AT53</f>
        <v>0</v>
      </c>
      <c r="AR52" s="107"/>
      <c r="AS52" s="179">
        <f>T58</f>
        <v>0</v>
      </c>
      <c r="AT52" s="179">
        <f>AS52*G48</f>
        <v>0</v>
      </c>
      <c r="AU52" s="107"/>
      <c r="AV52" s="107"/>
      <c r="AW52" s="180"/>
    </row>
    <row r="53" spans="1:56" ht="13.5" thickBot="1" x14ac:dyDescent="0.35">
      <c r="A53" s="794"/>
      <c r="B53" s="794"/>
      <c r="C53" s="794"/>
      <c r="D53" s="794"/>
      <c r="E53" s="794"/>
      <c r="F53" s="794"/>
      <c r="G53" s="794"/>
      <c r="H53" s="441"/>
      <c r="I53" s="441"/>
      <c r="J53" s="441"/>
      <c r="M53" s="103">
        <f>IF($D42="",0,IF($D42="KW",$B42*$C42/$E42,$B42*$C42))</f>
        <v>0</v>
      </c>
      <c r="N53" s="103">
        <f>IF($D42="",0,IF($D42="KW",$B42*$C42,$B42*$C42*$E42))</f>
        <v>0</v>
      </c>
      <c r="O53" s="145">
        <f>M53*IF(F42=0,1,F42)</f>
        <v>0</v>
      </c>
      <c r="P53" s="145">
        <f>IF(R53=0,0,O53*1000/S$36/3^0.5)</f>
        <v>0</v>
      </c>
      <c r="Q53" s="103">
        <f>N53*F42</f>
        <v>0</v>
      </c>
      <c r="R53" s="103">
        <f>IF(AI53="",0,E42*AI53)</f>
        <v>0</v>
      </c>
      <c r="S53" s="145">
        <f>P53</f>
        <v>0</v>
      </c>
      <c r="T53" s="145"/>
      <c r="U53" s="145">
        <f>V53*TAN(ACOS(R53))</f>
        <v>0</v>
      </c>
      <c r="V53" s="145">
        <f>S53*R53</f>
        <v>0</v>
      </c>
      <c r="W53" s="145"/>
      <c r="X53" s="145"/>
      <c r="AE53" s="152" t="str">
        <f>IF($F42="","",IF($F42&gt;75%,100,IF($F42&gt;50%,75,IF($F42&gt;40%,50,IF($F42&gt;30%,40,IF($F42&gt;0,30))))))</f>
        <v/>
      </c>
      <c r="AF53" s="152" t="str">
        <f>IF($F42="","",IF($F42&gt;75%,75,IF($F42&gt;50%,50,IF($F42&gt;40%,40,IF($F42&gt;30%,30,IF($F42&gt;30%,0))))))</f>
        <v/>
      </c>
      <c r="AG53" s="152" t="str">
        <f t="shared" si="22"/>
        <v/>
      </c>
      <c r="AH53" s="152" t="str">
        <f t="shared" si="23"/>
        <v/>
      </c>
      <c r="AI53" s="152" t="str">
        <f>IF(AE53="","",IF(AE53-F42*100=0,AG53,IF(AE53="","",AG53-((AE53-F42*100)*(AG53-AH53)/(AE53-AF53)))))</f>
        <v/>
      </c>
      <c r="AM53" s="168"/>
      <c r="AN53" s="107" t="s">
        <v>324</v>
      </c>
      <c r="AO53" s="182">
        <f>IF($D$18="x",$G$18,$V$59)</f>
        <v>0</v>
      </c>
      <c r="AP53" s="183">
        <f>V58*TAN(ACOS(AO53))</f>
        <v>0</v>
      </c>
      <c r="AQ53" s="107"/>
      <c r="AR53" s="107"/>
      <c r="AS53" s="184" t="s">
        <v>702</v>
      </c>
      <c r="AT53" s="185">
        <f>G48</f>
        <v>3</v>
      </c>
      <c r="AU53" s="107"/>
      <c r="AV53" s="107"/>
      <c r="AW53" s="180"/>
    </row>
    <row r="54" spans="1:56" ht="26.25" customHeight="1" thickBot="1" x14ac:dyDescent="0.35">
      <c r="A54" s="819" t="str">
        <f>IF(S58&gt;0,IF(AC21=0,"",IF(AC21&lt;1,"CHECK YOUR DATA! THE LOAD EXCEEDS ELECTRICAL SYSTEM KVA CAPACITY!","")),"")</f>
        <v/>
      </c>
      <c r="B54" s="819"/>
      <c r="C54" s="820"/>
      <c r="D54" s="769" t="s">
        <v>239</v>
      </c>
      <c r="E54" s="770"/>
      <c r="F54" s="770"/>
      <c r="G54" s="770"/>
      <c r="H54" s="771"/>
      <c r="I54" s="377"/>
      <c r="J54" s="376"/>
      <c r="M54" s="103">
        <f>IF($D43="",0,IF($D43="KW",$B43*$C43/$E43,$B43*$C43))</f>
        <v>0</v>
      </c>
      <c r="N54" s="103">
        <f>IF($D43="",0,IF($D43="KW",$B43*$C43,$B43*$C43*$E43))</f>
        <v>0</v>
      </c>
      <c r="O54" s="145">
        <f>M54*IF(F43=0,1,F43)</f>
        <v>0</v>
      </c>
      <c r="P54" s="145">
        <f>IF(R54=0,0,O54*1000/S$36/3^0.5)</f>
        <v>0</v>
      </c>
      <c r="Q54" s="103">
        <f>N54*F43</f>
        <v>0</v>
      </c>
      <c r="R54" s="103">
        <f>IF(AI54="",0,E43*AI54)</f>
        <v>0</v>
      </c>
      <c r="S54" s="145">
        <f>P54</f>
        <v>0</v>
      </c>
      <c r="T54" s="145"/>
      <c r="U54" s="145">
        <f>V54*TAN(ACOS(R54))</f>
        <v>0</v>
      </c>
      <c r="V54" s="145">
        <f>S54*R54</f>
        <v>0</v>
      </c>
      <c r="W54" s="145"/>
      <c r="X54" s="145"/>
      <c r="AE54" s="152" t="str">
        <f>IF($F43="","",IF($F43&gt;75%,100,IF($F43&gt;50%,75,IF($F43&gt;40%,50,IF($F43&gt;30%,40,IF($F43&gt;0,30))))))</f>
        <v/>
      </c>
      <c r="AF54" s="152" t="str">
        <f>IF($F43="","",IF($F43&gt;75%,75,IF($F43&gt;50%,50,IF($F43&gt;40%,40,IF($F43&gt;30%,30,IF($F43&gt;30%,0))))))</f>
        <v/>
      </c>
      <c r="AG54" s="152" t="str">
        <f t="shared" si="22"/>
        <v/>
      </c>
      <c r="AH54" s="152" t="str">
        <f t="shared" si="23"/>
        <v/>
      </c>
      <c r="AI54" s="152" t="str">
        <f>IF(AE54="","",IF(AE54-F43*100=0,AG54,IF(AE54="","",AG54-((AE54-F43*100)*(AG54-AH54)/(AE54-AF54)))))</f>
        <v/>
      </c>
      <c r="AM54" s="168"/>
      <c r="AN54" s="107" t="s">
        <v>321</v>
      </c>
      <c r="AO54" s="179">
        <f>IF(G60&gt;=H80,0,U58-V58*TAN(ACOS(AO53)))</f>
        <v>0</v>
      </c>
      <c r="AP54" s="186">
        <f>IF(AO64=0,0,AO54/AO64)</f>
        <v>0</v>
      </c>
      <c r="AQ54" s="107"/>
      <c r="AR54" s="107"/>
      <c r="AS54" s="107"/>
      <c r="AT54" s="107"/>
      <c r="AU54" s="107"/>
    </row>
    <row r="55" spans="1:56" ht="46.5" customHeight="1" thickBot="1" x14ac:dyDescent="0.4">
      <c r="A55" s="819"/>
      <c r="B55" s="819"/>
      <c r="C55" s="820"/>
      <c r="D55" s="468" t="s">
        <v>158</v>
      </c>
      <c r="E55" s="826" t="s">
        <v>383</v>
      </c>
      <c r="F55" s="827"/>
      <c r="G55" s="828" t="s">
        <v>381</v>
      </c>
      <c r="H55" s="829"/>
      <c r="I55" s="469"/>
      <c r="J55" s="392"/>
      <c r="M55" s="103">
        <f>IF($D44="",0,IF($D44="KW",$B44*$C44/$E44,$B44*$C44))</f>
        <v>0</v>
      </c>
      <c r="N55" s="103">
        <f>IF($D44="",0,IF($D44="KW",$B44*$C44,$B44*$C44*$E44))</f>
        <v>0</v>
      </c>
      <c r="O55" s="145">
        <f>M55*IF(F44=0,1,F44)</f>
        <v>0</v>
      </c>
      <c r="P55" s="145">
        <f>IF(R55=0,0,O55*1000/S$36/3^0.5)</f>
        <v>0</v>
      </c>
      <c r="Q55" s="103">
        <f>N55*F44</f>
        <v>0</v>
      </c>
      <c r="R55" s="103">
        <f>IF(AI55="",0,E44*AI55)</f>
        <v>0</v>
      </c>
      <c r="S55" s="145">
        <f>P55</f>
        <v>0</v>
      </c>
      <c r="T55" s="145"/>
      <c r="U55" s="145">
        <f>V55*TAN(ACOS(R55))</f>
        <v>0</v>
      </c>
      <c r="V55" s="145">
        <f>S55*R55</f>
        <v>0</v>
      </c>
      <c r="W55" s="145"/>
      <c r="X55" s="145"/>
      <c r="AB55" s="178"/>
      <c r="AE55" s="152" t="str">
        <f>IF($F44="","",IF($F44&gt;75%,100,IF($F44&gt;50%,75,IF($F44&gt;40%,50,IF($F44&gt;30%,40,IF($F44&gt;0,30))))))</f>
        <v/>
      </c>
      <c r="AF55" s="152" t="str">
        <f>IF($F44="","",IF($F44&gt;75%,75,IF($F44&gt;50%,50,IF($F44&gt;40%,40,IF($F44&gt;30%,30,IF($F44&gt;30%,0))))))</f>
        <v/>
      </c>
      <c r="AG55" s="152" t="str">
        <f t="shared" si="22"/>
        <v/>
      </c>
      <c r="AH55" s="152" t="str">
        <f t="shared" si="23"/>
        <v/>
      </c>
      <c r="AI55" s="152" t="str">
        <f>IF(AE55="","",IF(AE55-F44*100=0,AG55,IF(AE55="","",AG55-((AE55-F44*100)*(AG55-AH55)/(AE55-AF55)))))</f>
        <v/>
      </c>
      <c r="AM55" s="168"/>
      <c r="AN55" s="107"/>
      <c r="AO55" s="107"/>
      <c r="AP55" s="107"/>
      <c r="AQ55" s="107"/>
      <c r="AR55" s="107"/>
      <c r="AS55" s="107"/>
      <c r="AT55" s="107"/>
      <c r="AU55" s="107"/>
      <c r="AV55" s="107"/>
      <c r="AW55" s="180"/>
      <c r="AX55" s="145"/>
    </row>
    <row r="56" spans="1:56" ht="17.5" x14ac:dyDescent="0.35">
      <c r="A56" s="442"/>
      <c r="B56" s="442"/>
      <c r="C56" s="443"/>
      <c r="D56" s="617" t="s">
        <v>1042</v>
      </c>
      <c r="E56" s="618">
        <f>P58</f>
        <v>0</v>
      </c>
      <c r="F56" s="619" t="s">
        <v>165</v>
      </c>
      <c r="G56" s="620">
        <f>E56*'Electrical System 1-line'!J$40*3^0.5/1000</f>
        <v>0</v>
      </c>
      <c r="H56" s="621" t="s">
        <v>75</v>
      </c>
      <c r="I56" s="303"/>
      <c r="J56" s="376"/>
      <c r="O56" s="145"/>
      <c r="P56" s="145"/>
      <c r="S56" s="145"/>
      <c r="U56" s="145"/>
      <c r="V56" s="145"/>
      <c r="W56" s="145"/>
      <c r="X56" s="145"/>
      <c r="AE56" s="152" t="e">
        <f>IF(#REF!="","",IF(#REF!&gt;75%,100,IF(#REF!&gt;50%,75,IF(#REF!&gt;40%,50,IF(#REF!&gt;30%,40,IF(#REF!&gt;0,30))))))</f>
        <v>#REF!</v>
      </c>
      <c r="AF56" s="152" t="e">
        <f>IF(#REF!="","",IF(#REF!&gt;75%,75,IF(#REF!&gt;50%,50,IF(#REF!&gt;40%,40,IF(#REF!&gt;30%,30,IF(#REF!&gt;30%,0))))))</f>
        <v>#REF!</v>
      </c>
      <c r="AG56" s="152" t="e">
        <f t="shared" si="22"/>
        <v>#REF!</v>
      </c>
      <c r="AH56" s="152" t="e">
        <f t="shared" si="23"/>
        <v>#REF!</v>
      </c>
      <c r="AI56" s="152" t="e">
        <f>IF(AE56="","",IF(AE56-#REF!*100=0,AG56,IF(AE56="","",AG56-((AE56-#REF!*100)*(AG56-AH56)/(AE56-AF56)))))</f>
        <v>#REF!</v>
      </c>
      <c r="AK56" s="192" t="s">
        <v>510</v>
      </c>
      <c r="AM56" s="168"/>
      <c r="AN56" s="107" t="s">
        <v>322</v>
      </c>
      <c r="AO56" s="179">
        <v>0</v>
      </c>
      <c r="AP56" s="193">
        <f>IF(AO64=0,0,AO56/AO64)</f>
        <v>0</v>
      </c>
      <c r="AQ56" s="107"/>
      <c r="AR56" s="107"/>
      <c r="AS56" s="107"/>
      <c r="AT56" s="107"/>
      <c r="AU56" s="107"/>
      <c r="AV56" s="194" t="s">
        <v>363</v>
      </c>
      <c r="AW56" s="195">
        <f>'Electrical System 1-line'!J40</f>
        <v>480</v>
      </c>
      <c r="AX56" s="145"/>
      <c r="AY56" s="148"/>
    </row>
    <row r="57" spans="1:56" ht="17.5" x14ac:dyDescent="0.35">
      <c r="A57" s="442"/>
      <c r="B57" s="442"/>
      <c r="C57" s="443"/>
      <c r="D57" s="622" t="s">
        <v>1043</v>
      </c>
      <c r="E57" s="623">
        <f>S58</f>
        <v>0</v>
      </c>
      <c r="F57" s="624" t="s">
        <v>165</v>
      </c>
      <c r="G57" s="625">
        <f>X59</f>
        <v>0</v>
      </c>
      <c r="H57" s="626" t="s">
        <v>83</v>
      </c>
      <c r="I57" s="303"/>
      <c r="J57" s="376"/>
      <c r="M57" s="149">
        <f>SUM(M51:M56)</f>
        <v>0</v>
      </c>
      <c r="O57" s="149">
        <f>SUM(O51:O56)</f>
        <v>0</v>
      </c>
      <c r="P57" s="149">
        <f>SUM(P51:P56)</f>
        <v>0</v>
      </c>
      <c r="R57" s="197">
        <f>IF(V57=0,0,COS(ATAN(U57/V57)))</f>
        <v>0</v>
      </c>
      <c r="S57" s="145">
        <f>SUM(S51:S55)</f>
        <v>0</v>
      </c>
      <c r="T57" s="145"/>
      <c r="U57" s="145">
        <f>SUM(U51:U55)</f>
        <v>0</v>
      </c>
      <c r="V57" s="145">
        <f>SUM(V51:V55)</f>
        <v>0</v>
      </c>
      <c r="W57" s="145" t="s">
        <v>154</v>
      </c>
      <c r="X57" s="155">
        <f>O57</f>
        <v>0</v>
      </c>
      <c r="AB57" s="147"/>
      <c r="AM57" s="168"/>
      <c r="AN57" s="107"/>
      <c r="AO57" s="107"/>
      <c r="AP57" s="107"/>
      <c r="AQ57" s="107"/>
      <c r="AR57" s="107"/>
      <c r="AS57" s="107"/>
      <c r="AT57" s="107"/>
      <c r="AU57" s="107"/>
      <c r="AV57" s="107"/>
      <c r="AW57" s="180"/>
    </row>
    <row r="58" spans="1:56" ht="18" thickBot="1" x14ac:dyDescent="0.4">
      <c r="A58" s="376"/>
      <c r="B58" s="338"/>
      <c r="C58" s="338"/>
      <c r="D58" s="622" t="s">
        <v>1044</v>
      </c>
      <c r="E58" s="623">
        <f>T58</f>
        <v>0</v>
      </c>
      <c r="F58" s="624" t="s">
        <v>165</v>
      </c>
      <c r="G58" s="627">
        <f>IF(E60=0,0,1/(1+(E60)^2)^0.5)</f>
        <v>0</v>
      </c>
      <c r="H58" s="626" t="s">
        <v>386</v>
      </c>
      <c r="I58" s="303"/>
      <c r="J58" s="376"/>
      <c r="M58" s="103" t="s">
        <v>168</v>
      </c>
      <c r="O58" s="145"/>
      <c r="P58" s="145">
        <f>(S58^2+T58^2)^0.5</f>
        <v>0</v>
      </c>
      <c r="R58" s="197" t="e">
        <f>COS(ATAN(U58/V58))</f>
        <v>#DIV/0!</v>
      </c>
      <c r="S58" s="145">
        <f>SQRT(U58^2+V58^2)</f>
        <v>0</v>
      </c>
      <c r="T58" s="145">
        <f>T48</f>
        <v>0</v>
      </c>
      <c r="U58" s="145">
        <f>U57+U48</f>
        <v>0</v>
      </c>
      <c r="V58" s="145">
        <f>V48+V57</f>
        <v>0</v>
      </c>
      <c r="W58" s="145" t="s">
        <v>156</v>
      </c>
      <c r="X58" s="155">
        <f>X48+X57</f>
        <v>0</v>
      </c>
      <c r="AM58" s="168"/>
      <c r="AN58" s="194" t="s">
        <v>325</v>
      </c>
      <c r="AO58" s="179">
        <f>SQRT((AQ52)^2+(AO54+AO56)^2)</f>
        <v>0</v>
      </c>
      <c r="AP58" s="198" t="s">
        <v>364</v>
      </c>
      <c r="AQ58" s="107"/>
      <c r="AR58" s="107" t="s">
        <v>334</v>
      </c>
      <c r="AS58" s="199">
        <f>IF(S36&gt;690,G67*V65/S36,G67)</f>
        <v>0</v>
      </c>
      <c r="AT58" s="107"/>
      <c r="AU58" s="200">
        <f>IF(AS58=0,0,AQ52/AS58)</f>
        <v>0</v>
      </c>
      <c r="AV58" s="107"/>
      <c r="AW58" s="180"/>
    </row>
    <row r="59" spans="1:56" ht="18" thickBot="1" x14ac:dyDescent="0.4">
      <c r="A59" s="376"/>
      <c r="B59" s="338"/>
      <c r="C59" s="338"/>
      <c r="D59" s="622" t="s">
        <v>1045</v>
      </c>
      <c r="E59" s="623">
        <f>U58</f>
        <v>0</v>
      </c>
      <c r="F59" s="624" t="s">
        <v>165</v>
      </c>
      <c r="G59" s="625">
        <f>E59*'Electrical System 1-line'!J$40*3^0.5/1000</f>
        <v>0</v>
      </c>
      <c r="H59" s="626" t="s">
        <v>378</v>
      </c>
      <c r="I59" s="303"/>
      <c r="J59" s="376"/>
      <c r="M59" s="201" t="s">
        <v>176</v>
      </c>
      <c r="N59" s="202">
        <f>IF(S58=0,0,IF('work page'!G13=0,2500,'work page'!G13/'AccuSine Sizing Tool'!S58))</f>
        <v>0</v>
      </c>
      <c r="O59" s="139"/>
      <c r="P59" s="145"/>
      <c r="S59" s="145" t="s">
        <v>319</v>
      </c>
      <c r="T59" s="147">
        <f>IF(S58=0,0,T58/S58)</f>
        <v>0</v>
      </c>
      <c r="U59" s="203">
        <f>IF(D17="",T59,IF(G17&gt;0,IF(G17&lt;3%,3%,G17),IF(F13="IEEE 519-2014",'work page'!S15,0)))</f>
        <v>0</v>
      </c>
      <c r="V59" s="178">
        <f>IF(S58=0,0,COS(ATAN(U58/V58)))</f>
        <v>0</v>
      </c>
      <c r="W59" s="204" t="s">
        <v>160</v>
      </c>
      <c r="X59" s="145">
        <f>V58*S36*3^0.5/1000</f>
        <v>0</v>
      </c>
      <c r="Y59" s="103" t="s">
        <v>392</v>
      </c>
      <c r="AM59" s="168"/>
      <c r="AN59" s="205" t="s">
        <v>362</v>
      </c>
      <c r="AO59" s="179">
        <f>IF(S36&lt;=690,AO58,AO58*IF(S36&lt;=800,800/440,IF(S36&gt;800,S36/400)))</f>
        <v>0</v>
      </c>
      <c r="AP59" s="107"/>
      <c r="AQ59" s="107"/>
      <c r="AR59" s="107"/>
      <c r="AS59" s="107"/>
      <c r="AT59" s="107"/>
      <c r="AU59" s="107"/>
      <c r="AV59" s="107"/>
      <c r="AW59" s="180"/>
      <c r="AX59" s="149">
        <f>AO58*600/470</f>
        <v>0</v>
      </c>
      <c r="AY59" s="149">
        <f>AO58*690/460</f>
        <v>0</v>
      </c>
    </row>
    <row r="60" spans="1:56" ht="15.5" x14ac:dyDescent="0.35">
      <c r="A60" s="376"/>
      <c r="B60" s="338"/>
      <c r="C60" s="338"/>
      <c r="D60" s="622" t="s">
        <v>380</v>
      </c>
      <c r="E60" s="628">
        <f>ROUND(IF(E$57=0,0,E$58/E$57),4)</f>
        <v>0</v>
      </c>
      <c r="F60" s="629"/>
      <c r="G60" s="630">
        <f>V59</f>
        <v>0</v>
      </c>
      <c r="H60" s="624" t="s">
        <v>1039</v>
      </c>
      <c r="I60" s="303" t="s">
        <v>406</v>
      </c>
      <c r="J60" s="376"/>
      <c r="S60" s="206" t="s">
        <v>174</v>
      </c>
      <c r="T60" s="155">
        <f>AQ52</f>
        <v>0</v>
      </c>
      <c r="U60" s="155">
        <f>S58*U59</f>
        <v>0</v>
      </c>
      <c r="V60" s="178">
        <f>IF($D$18="x",$G$18,$V$59)</f>
        <v>0</v>
      </c>
      <c r="W60" s="145" t="s">
        <v>161</v>
      </c>
      <c r="X60" s="145"/>
      <c r="Z60" s="145"/>
      <c r="AF60" s="103">
        <f>IF(S36&lt;=520,1,IF(S36&lt;=630,600/470,IF(S36&lt;=730,690/460,IF(S36&lt;=800,800/440,IF(S36&gt;800,'Electrical System 1-line'!E6/400)))))</f>
        <v>1</v>
      </c>
      <c r="AM60" s="168"/>
      <c r="AN60" s="107"/>
      <c r="AO60" s="107"/>
      <c r="AP60" s="194" t="s">
        <v>405</v>
      </c>
      <c r="AQ60" s="288">
        <f>G19</f>
        <v>0</v>
      </c>
      <c r="AR60" s="107"/>
      <c r="AS60" s="107"/>
      <c r="AT60" s="107"/>
      <c r="AU60" s="193"/>
      <c r="AV60" s="107"/>
      <c r="AW60" s="180"/>
      <c r="AX60" s="145"/>
      <c r="AY60" s="206"/>
    </row>
    <row r="61" spans="1:56" ht="15" customHeight="1" thickBot="1" x14ac:dyDescent="0.4">
      <c r="A61" s="376"/>
      <c r="B61" s="338"/>
      <c r="C61" s="338"/>
      <c r="D61" s="470"/>
      <c r="E61" s="471"/>
      <c r="F61" s="472"/>
      <c r="G61" s="631">
        <f>G58*G60</f>
        <v>0</v>
      </c>
      <c r="H61" s="632" t="s">
        <v>379</v>
      </c>
      <c r="I61" s="303"/>
      <c r="J61" s="376"/>
      <c r="N61" s="103">
        <f>IF(S58=0,0,'work page'!G13/S58)</f>
        <v>0</v>
      </c>
      <c r="O61" s="103">
        <f>IF(N61&lt;20,20,N61)</f>
        <v>20</v>
      </c>
      <c r="S61" s="206" t="s">
        <v>162</v>
      </c>
      <c r="T61" s="145"/>
      <c r="U61" s="145"/>
      <c r="V61" s="145">
        <f>IF(D18="x",IF(V59&lt;=V60,U58-V58*TAN(ACOS(V60))),0)</f>
        <v>0</v>
      </c>
      <c r="W61" s="145" t="s">
        <v>201</v>
      </c>
      <c r="X61" s="103" t="s">
        <v>317</v>
      </c>
      <c r="Z61" s="127"/>
      <c r="AA61" s="121"/>
      <c r="AB61" s="121"/>
      <c r="AM61" s="168"/>
      <c r="AN61" s="107" t="s">
        <v>340</v>
      </c>
      <c r="AO61" s="107"/>
      <c r="AP61" s="107"/>
      <c r="AQ61" s="107"/>
      <c r="AR61" s="107">
        <f>IF(AS64&gt;AO62,AS64,AO62)</f>
        <v>0</v>
      </c>
      <c r="AS61" s="206">
        <f>AR61/AT53</f>
        <v>0</v>
      </c>
      <c r="AT61" s="107"/>
      <c r="AU61" s="107"/>
      <c r="AV61" s="107"/>
      <c r="AW61" s="180"/>
      <c r="AX61" s="147"/>
      <c r="AY61" s="145"/>
      <c r="BC61" s="122"/>
    </row>
    <row r="62" spans="1:56" ht="13.5" customHeight="1" thickBot="1" x14ac:dyDescent="0.35">
      <c r="A62" s="376"/>
      <c r="B62" s="376"/>
      <c r="C62" s="376"/>
      <c r="D62" s="376"/>
      <c r="E62" s="377"/>
      <c r="F62" s="377"/>
      <c r="G62" s="377"/>
      <c r="H62" s="376"/>
      <c r="I62" s="376"/>
      <c r="J62" s="376"/>
      <c r="S62" s="206"/>
      <c r="T62" s="145"/>
      <c r="U62" s="145"/>
      <c r="V62" s="145"/>
      <c r="W62" s="145"/>
      <c r="Z62" s="127"/>
      <c r="AM62" s="168"/>
      <c r="AN62" s="194" t="s">
        <v>339</v>
      </c>
      <c r="AO62" s="199">
        <f>IF(D17="",0,AS58*IF(G19="",1,IF(G19=0,G19,IF(AO54+AO56=0,1,G19))))</f>
        <v>0</v>
      </c>
      <c r="AP62" s="107" t="s">
        <v>330</v>
      </c>
      <c r="AQ62" s="107"/>
      <c r="AR62" s="194" t="s">
        <v>341</v>
      </c>
      <c r="AS62" s="206">
        <f>IF(AO52=0,AV67,IF(AV67=0,0,IF(AR61&gt;AT52,AS51,AP51-(AS61-AO52))))</f>
        <v>0</v>
      </c>
      <c r="AT62" s="107" t="s">
        <v>342</v>
      </c>
      <c r="AU62" s="186">
        <f>IF(AT69=0,0,AS62/AT69)</f>
        <v>0</v>
      </c>
      <c r="AV62" s="107"/>
      <c r="AW62" s="180"/>
      <c r="AY62" s="145"/>
      <c r="BC62" s="122"/>
      <c r="BD62" s="145"/>
    </row>
    <row r="63" spans="1:56" ht="23.25" customHeight="1" thickBot="1" x14ac:dyDescent="0.35">
      <c r="A63" s="436"/>
      <c r="B63" s="430"/>
      <c r="C63" s="430"/>
      <c r="D63" s="772" t="s">
        <v>986</v>
      </c>
      <c r="E63" s="773"/>
      <c r="F63" s="774"/>
      <c r="G63" s="444">
        <f>IF(S58&gt;0,AO58*IF(AC50&gt;1,AC50,1),0)</f>
        <v>0</v>
      </c>
      <c r="H63" s="430" t="s">
        <v>165</v>
      </c>
      <c r="I63" s="376"/>
      <c r="J63" s="376"/>
      <c r="S63" s="122" t="s">
        <v>175</v>
      </c>
      <c r="T63" s="206"/>
      <c r="U63" s="145"/>
      <c r="V63" s="155">
        <f>U58-V61</f>
        <v>0</v>
      </c>
      <c r="W63" s="145" t="s">
        <v>202</v>
      </c>
      <c r="X63" s="145"/>
      <c r="Y63" s="207"/>
      <c r="Z63" s="127"/>
      <c r="AA63" s="121"/>
      <c r="AM63" s="168"/>
      <c r="AN63" s="194" t="s">
        <v>331</v>
      </c>
      <c r="AO63" s="179">
        <f>SQRT(AS58^2-IF(AO62&gt;AT52,AT52,AO62)^2)</f>
        <v>0</v>
      </c>
      <c r="AP63" s="107" t="s">
        <v>332</v>
      </c>
      <c r="AQ63" s="107"/>
      <c r="AR63" s="107"/>
      <c r="AS63" s="179"/>
      <c r="AT63" s="107"/>
      <c r="AU63" s="193"/>
      <c r="AV63" s="107"/>
      <c r="AW63" s="180"/>
      <c r="AX63" s="145"/>
      <c r="AY63" s="294"/>
      <c r="AZ63" s="145">
        <f>SQRT(600^2-504.5^2)</f>
        <v>324.77646158550345</v>
      </c>
    </row>
    <row r="64" spans="1:56" ht="17.25" customHeight="1" thickBot="1" x14ac:dyDescent="0.35">
      <c r="A64" s="825" t="str">
        <f>IF(D18="x","",IF(AC50&gt;1,"AccuSine+ selection has been adjusted due to 12-p loads.",""))</f>
        <v/>
      </c>
      <c r="B64" s="825"/>
      <c r="C64" s="825"/>
      <c r="D64" s="825"/>
      <c r="E64" s="825"/>
      <c r="F64" s="445"/>
      <c r="G64" s="446"/>
      <c r="H64" s="446"/>
      <c r="I64" s="376"/>
      <c r="J64" s="376"/>
      <c r="Q64" s="785" t="s">
        <v>163</v>
      </c>
      <c r="R64" s="785"/>
      <c r="S64" s="785"/>
      <c r="T64" s="145"/>
      <c r="U64" s="145"/>
      <c r="X64" s="145"/>
      <c r="Y64" s="207"/>
      <c r="Z64" s="121"/>
      <c r="AA64" s="145"/>
      <c r="AB64" s="145"/>
      <c r="AM64" s="168"/>
      <c r="AN64" s="194" t="s">
        <v>335</v>
      </c>
      <c r="AO64" s="179">
        <f>AO54+AO56</f>
        <v>0</v>
      </c>
      <c r="AP64" s="169" t="s">
        <v>336</v>
      </c>
      <c r="AQ64" s="171">
        <f>IF(AM65&gt;AV70,AV70+AO70,AM65+AO70)</f>
        <v>0</v>
      </c>
      <c r="AR64" s="208"/>
      <c r="AS64" s="171">
        <f>IF(AO63&gt;AQ64,SQRT(AS58^2-AQ64^2),0)</f>
        <v>0</v>
      </c>
      <c r="AT64" s="171"/>
      <c r="AU64" s="209"/>
      <c r="AV64" s="169"/>
      <c r="AW64" s="210"/>
      <c r="AX64" s="173"/>
      <c r="AY64" s="135"/>
      <c r="AZ64" s="145"/>
    </row>
    <row r="65" spans="1:56" s="129" customFormat="1" ht="24.75" customHeight="1" thickBot="1" x14ac:dyDescent="0.35">
      <c r="A65" s="436"/>
      <c r="B65" s="430"/>
      <c r="C65" s="430"/>
      <c r="D65" s="830" t="s">
        <v>987</v>
      </c>
      <c r="E65" s="831"/>
      <c r="F65" s="832"/>
      <c r="G65" s="447">
        <f>IF(S58&gt;0,AO59*IF(AC50&gt;1,AC50,1),0)</f>
        <v>0</v>
      </c>
      <c r="H65" s="430" t="s">
        <v>165</v>
      </c>
      <c r="I65" s="376"/>
      <c r="J65" s="376"/>
      <c r="K65" s="103"/>
      <c r="L65" s="211"/>
      <c r="S65" s="129" t="s">
        <v>3</v>
      </c>
      <c r="T65" s="212"/>
      <c r="U65" s="129" t="s">
        <v>164</v>
      </c>
      <c r="V65" s="213">
        <f>IF(D17="x",IF(S36&gt;480,IF(S36&lt;=600,470,IF(S36&lt;=690,460,IF(S36&lt;=800,440,IF(S36&gt;800,400,480)))),480),IF(S36&lt;=480,480,IF(S36&lt;=600,470,IF(S36&gt;=600.1,480,480))))</f>
        <v>480</v>
      </c>
      <c r="X65" s="214"/>
      <c r="Y65" s="212"/>
      <c r="AA65" s="212"/>
      <c r="AB65" s="212"/>
      <c r="AC65" s="212"/>
      <c r="AM65" s="215">
        <f>AO63-AO70</f>
        <v>0</v>
      </c>
      <c r="AN65" s="128" t="s">
        <v>333</v>
      </c>
      <c r="AO65" s="216">
        <f>IF(AO63&gt;=AO64,1,AO63/AO64)</f>
        <v>1</v>
      </c>
      <c r="AP65" s="208"/>
      <c r="AQ65" s="208"/>
      <c r="AS65" s="128"/>
      <c r="AT65" s="128"/>
      <c r="AU65" s="128"/>
      <c r="AV65" s="128"/>
      <c r="AW65" s="217"/>
      <c r="AZ65" s="214"/>
    </row>
    <row r="66" spans="1:56" ht="14.25" customHeight="1" thickBot="1" x14ac:dyDescent="0.35">
      <c r="A66" s="448"/>
      <c r="B66" s="448"/>
      <c r="C66" s="448"/>
      <c r="D66" s="449"/>
      <c r="E66" s="449"/>
      <c r="F66" s="449"/>
      <c r="G66" s="449"/>
      <c r="H66" s="450"/>
      <c r="I66" s="376"/>
      <c r="J66" s="376"/>
      <c r="S66" s="122" t="s">
        <v>166</v>
      </c>
      <c r="T66" s="148"/>
      <c r="U66" s="127" t="s">
        <v>184</v>
      </c>
      <c r="V66" s="145"/>
      <c r="AM66" s="168"/>
      <c r="AN66" s="107"/>
      <c r="AO66" s="182">
        <f>AV70-IF(AO64&lt;AM65, AO64, AM65)</f>
        <v>0</v>
      </c>
      <c r="AP66" s="107"/>
      <c r="AQ66" s="123"/>
      <c r="AR66" s="124"/>
      <c r="AS66" s="124"/>
      <c r="AT66" s="124"/>
      <c r="AU66" s="124"/>
      <c r="AV66" s="124"/>
      <c r="AW66" s="218"/>
      <c r="AX66" s="148"/>
      <c r="AZ66" s="145"/>
      <c r="BA66" s="147"/>
    </row>
    <row r="67" spans="1:56" ht="21" customHeight="1" thickBot="1" x14ac:dyDescent="0.35">
      <c r="A67" s="448"/>
      <c r="B67" s="448"/>
      <c r="C67" s="448"/>
      <c r="D67" s="833" t="s">
        <v>988</v>
      </c>
      <c r="E67" s="834"/>
      <c r="F67" s="835"/>
      <c r="G67" s="451"/>
      <c r="H67" s="436" t="s">
        <v>165</v>
      </c>
      <c r="I67" s="376"/>
      <c r="J67" s="392"/>
      <c r="K67" s="129"/>
      <c r="X67" s="127"/>
      <c r="AA67" s="107"/>
      <c r="AK67" s="103" t="s">
        <v>345</v>
      </c>
      <c r="AM67" s="168"/>
      <c r="AN67" s="194" t="s">
        <v>328</v>
      </c>
      <c r="AO67" s="219">
        <f>IF(AO54=0,AV70,IF(AM65&gt;=AV70,0,AO66))</f>
        <v>0</v>
      </c>
      <c r="AP67" s="179"/>
      <c r="AQ67" s="168"/>
      <c r="AR67" s="107"/>
      <c r="AS67" s="107" t="s">
        <v>349</v>
      </c>
      <c r="AT67" s="193">
        <f>E60</f>
        <v>0</v>
      </c>
      <c r="AU67" s="107" t="s">
        <v>350</v>
      </c>
      <c r="AV67" s="199">
        <f>E58</f>
        <v>0</v>
      </c>
      <c r="AW67" s="180"/>
      <c r="AX67" s="220"/>
      <c r="BA67" s="221"/>
      <c r="BB67" s="145"/>
      <c r="BD67" s="121"/>
    </row>
    <row r="68" spans="1:56" ht="15" customHeight="1" thickBot="1" x14ac:dyDescent="0.35">
      <c r="A68" s="448"/>
      <c r="B68" s="448"/>
      <c r="C68" s="448"/>
      <c r="D68" s="452"/>
      <c r="E68" s="452"/>
      <c r="F68" s="452"/>
      <c r="G68" s="452"/>
      <c r="H68" s="452"/>
      <c r="I68" s="453"/>
      <c r="J68" s="376"/>
      <c r="P68" s="148"/>
      <c r="T68" s="122"/>
      <c r="U68" s="147"/>
      <c r="X68" s="148"/>
      <c r="Y68" s="148"/>
      <c r="Z68" s="148"/>
      <c r="AA68" s="179"/>
      <c r="AM68" s="168"/>
      <c r="AN68" s="194" t="s">
        <v>329</v>
      </c>
      <c r="AO68" s="222">
        <f>IF(AV70&gt;0,IF(AO67=0,1,COS(ATAN((AO67)/AR69))),-Server!AK16)</f>
        <v>0</v>
      </c>
      <c r="AP68" s="107"/>
      <c r="AQ68" s="168"/>
      <c r="AR68" s="107"/>
      <c r="AS68" s="194" t="s">
        <v>1027</v>
      </c>
      <c r="AT68" s="211" t="e">
        <f>AT67*AT69/AT71</f>
        <v>#DIV/0!</v>
      </c>
      <c r="AU68" s="107"/>
      <c r="AV68" s="107"/>
      <c r="AW68" s="180"/>
      <c r="AZ68" s="147"/>
      <c r="BB68" s="145"/>
    </row>
    <row r="69" spans="1:56" ht="19" thickBot="1" x14ac:dyDescent="0.35">
      <c r="A69" s="376"/>
      <c r="B69" s="338"/>
      <c r="C69" s="454"/>
      <c r="D69" s="836" t="s">
        <v>238</v>
      </c>
      <c r="E69" s="837"/>
      <c r="F69" s="837"/>
      <c r="G69" s="837"/>
      <c r="H69" s="838"/>
      <c r="I69" s="376"/>
      <c r="J69" s="376"/>
      <c r="X69" s="148"/>
      <c r="Y69" s="148"/>
      <c r="Z69" s="148"/>
      <c r="AA69" s="148"/>
      <c r="AM69" s="168"/>
      <c r="AN69" s="194"/>
      <c r="AO69" s="179"/>
      <c r="AP69" s="179"/>
      <c r="AQ69" s="223" t="s">
        <v>182</v>
      </c>
      <c r="AR69" s="179">
        <f>V58</f>
        <v>0</v>
      </c>
      <c r="AS69" s="107" t="s">
        <v>346</v>
      </c>
      <c r="AT69" s="107">
        <f>S58</f>
        <v>0</v>
      </c>
      <c r="AU69" s="107" t="s">
        <v>347</v>
      </c>
      <c r="AV69" s="183">
        <f>P58</f>
        <v>0</v>
      </c>
      <c r="AW69" s="180"/>
      <c r="AY69" s="147"/>
    </row>
    <row r="70" spans="1:56" ht="51" customHeight="1" thickBot="1" x14ac:dyDescent="0.35">
      <c r="A70" s="376"/>
      <c r="B70" s="338"/>
      <c r="C70" s="338"/>
      <c r="D70" s="473" t="s">
        <v>158</v>
      </c>
      <c r="E70" s="821" t="s">
        <v>384</v>
      </c>
      <c r="F70" s="822"/>
      <c r="G70" s="823" t="s">
        <v>382</v>
      </c>
      <c r="H70" s="824"/>
      <c r="I70" s="376"/>
      <c r="J70" s="376"/>
      <c r="X70" s="148"/>
      <c r="Y70" s="148"/>
      <c r="Z70" s="148"/>
      <c r="AA70" s="148"/>
      <c r="AM70" s="168"/>
      <c r="AN70" s="107" t="s">
        <v>337</v>
      </c>
      <c r="AO70" s="179">
        <f>IF($AP$56*$AO$63&gt;=$AO$56,$AO$56,$AP$56*$AO$63)*AO65</f>
        <v>0</v>
      </c>
      <c r="AP70" s="107"/>
      <c r="AQ70" s="168"/>
      <c r="AR70" s="107"/>
      <c r="AS70" s="107"/>
      <c r="AT70" s="107"/>
      <c r="AU70" s="107" t="s">
        <v>352</v>
      </c>
      <c r="AV70" s="179">
        <f>U58</f>
        <v>0</v>
      </c>
      <c r="AW70" s="180"/>
      <c r="AY70" s="145"/>
    </row>
    <row r="71" spans="1:56" ht="18.75" customHeight="1" x14ac:dyDescent="0.3">
      <c r="A71" s="376"/>
      <c r="B71" s="338"/>
      <c r="C71" s="338"/>
      <c r="D71" s="597" t="s">
        <v>1042</v>
      </c>
      <c r="E71" s="598">
        <f>IF(G67=0,E56,AV71)</f>
        <v>0</v>
      </c>
      <c r="F71" s="599" t="s">
        <v>165</v>
      </c>
      <c r="G71" s="600">
        <f>E71*'Electrical System 1-line'!J$40*3^0.5/1000</f>
        <v>0</v>
      </c>
      <c r="H71" s="601" t="s">
        <v>75</v>
      </c>
      <c r="I71" s="376"/>
      <c r="J71" s="376"/>
      <c r="X71" s="139"/>
      <c r="Y71" s="148"/>
      <c r="Z71" s="148"/>
      <c r="AA71" s="145"/>
      <c r="AM71" s="168"/>
      <c r="AN71" s="194" t="s">
        <v>338</v>
      </c>
      <c r="AO71" s="179">
        <f>AO56-AO70</f>
        <v>0</v>
      </c>
      <c r="AP71" s="193">
        <f>IF(S58=0,0,AO71/S58)</f>
        <v>0</v>
      </c>
      <c r="AQ71" s="168"/>
      <c r="AR71" s="107"/>
      <c r="AS71" s="107" t="s">
        <v>343</v>
      </c>
      <c r="AT71" s="182">
        <f>IF(D18="x",IF(G18&lt;G60,S58,SQRT(AR69^2+AO67^2)),S58)</f>
        <v>0</v>
      </c>
      <c r="AU71" s="107" t="s">
        <v>344</v>
      </c>
      <c r="AV71" s="107">
        <f>SQRT(AT71^2+AS62^2)</f>
        <v>0</v>
      </c>
      <c r="AW71" s="180"/>
      <c r="AZ71" s="147"/>
    </row>
    <row r="72" spans="1:56" ht="18" customHeight="1" thickBot="1" x14ac:dyDescent="0.35">
      <c r="A72" s="376"/>
      <c r="B72" s="338"/>
      <c r="C72" s="338"/>
      <c r="D72" s="602" t="s">
        <v>1043</v>
      </c>
      <c r="E72" s="603">
        <f>IF(G67=0,E57,AT71)</f>
        <v>0</v>
      </c>
      <c r="F72" s="604" t="s">
        <v>165</v>
      </c>
      <c r="G72" s="605">
        <f>G57</f>
        <v>0</v>
      </c>
      <c r="H72" s="606" t="s">
        <v>83</v>
      </c>
      <c r="I72" s="376"/>
      <c r="J72" s="376"/>
      <c r="AC72" s="145"/>
      <c r="AD72" s="145"/>
      <c r="AM72" s="224"/>
      <c r="AN72" s="225"/>
      <c r="AO72" s="225"/>
      <c r="AP72" s="225"/>
      <c r="AQ72" s="224"/>
      <c r="AR72" s="225"/>
      <c r="AS72" s="225"/>
      <c r="AT72" s="225"/>
      <c r="AU72" s="225" t="s">
        <v>354</v>
      </c>
      <c r="AV72" s="226">
        <f>AO67</f>
        <v>0</v>
      </c>
      <c r="AW72" s="227"/>
      <c r="AX72" s="145"/>
      <c r="AY72" s="145"/>
      <c r="AZ72" s="145"/>
      <c r="BB72" s="145"/>
    </row>
    <row r="73" spans="1:56" ht="17.5" x14ac:dyDescent="0.3">
      <c r="A73" s="376"/>
      <c r="B73" s="338"/>
      <c r="C73" s="338"/>
      <c r="D73" s="607" t="s">
        <v>1044</v>
      </c>
      <c r="E73" s="603">
        <f>AS62</f>
        <v>0</v>
      </c>
      <c r="F73" s="604" t="s">
        <v>165</v>
      </c>
      <c r="G73" s="608">
        <f>IF(E75=0,0,1/(1+(E75)^2)^0.5)</f>
        <v>0</v>
      </c>
      <c r="H73" s="606" t="s">
        <v>386</v>
      </c>
      <c r="I73" s="376"/>
      <c r="J73" s="376"/>
      <c r="T73" s="147"/>
      <c r="AC73" s="148"/>
      <c r="AZ73" s="211"/>
    </row>
    <row r="74" spans="1:56" ht="17.5" x14ac:dyDescent="0.3">
      <c r="A74" s="376"/>
      <c r="B74" s="338" t="s">
        <v>35</v>
      </c>
      <c r="C74" s="338"/>
      <c r="D74" s="607" t="s">
        <v>1045</v>
      </c>
      <c r="E74" s="603">
        <f>IF(G67=0,E59,AO67)</f>
        <v>0</v>
      </c>
      <c r="F74" s="604" t="s">
        <v>165</v>
      </c>
      <c r="G74" s="605">
        <f>E74*'Electrical System 1-line'!J$40*3^0.5/1000</f>
        <v>0</v>
      </c>
      <c r="H74" s="606" t="s">
        <v>378</v>
      </c>
      <c r="I74" s="376"/>
      <c r="J74" s="376"/>
      <c r="Q74" s="228"/>
      <c r="R74" s="228"/>
      <c r="S74" s="147"/>
      <c r="T74" s="147"/>
      <c r="U74" s="148"/>
      <c r="V74" s="145"/>
      <c r="W74" s="228"/>
      <c r="Z74" s="145"/>
      <c r="AC74" s="228"/>
      <c r="AS74" s="145"/>
    </row>
    <row r="75" spans="1:56" ht="15.5" x14ac:dyDescent="0.35">
      <c r="A75" s="376"/>
      <c r="B75" s="338"/>
      <c r="C75" s="338"/>
      <c r="D75" s="607" t="s">
        <v>271</v>
      </c>
      <c r="E75" s="609">
        <f>IF(E72=0,0,IF(G67=0,E60,ROUND(E73/E72,4)))</f>
        <v>0</v>
      </c>
      <c r="F75" s="610"/>
      <c r="G75" s="611">
        <f>IF(G67=0,G60,ROUND(AO68,4))</f>
        <v>0</v>
      </c>
      <c r="H75" s="606" t="s">
        <v>1039</v>
      </c>
      <c r="I75" s="303" t="s">
        <v>406</v>
      </c>
      <c r="J75" s="376"/>
      <c r="Q75" s="228"/>
      <c r="S75" s="147"/>
      <c r="T75" s="147"/>
      <c r="W75" s="178"/>
      <c r="AB75" s="122"/>
      <c r="AC75" s="145"/>
      <c r="AD75" s="145"/>
      <c r="AE75" s="145"/>
      <c r="AF75" s="145"/>
      <c r="AS75" s="145"/>
    </row>
    <row r="76" spans="1:56" ht="16" thickBot="1" x14ac:dyDescent="0.35">
      <c r="A76" s="376"/>
      <c r="B76" s="338"/>
      <c r="C76" s="338"/>
      <c r="D76" s="612"/>
      <c r="E76" s="613"/>
      <c r="F76" s="614"/>
      <c r="G76" s="615">
        <f>G73*G75</f>
        <v>0</v>
      </c>
      <c r="H76" s="616" t="s">
        <v>379</v>
      </c>
      <c r="I76" s="376"/>
      <c r="J76" s="376"/>
      <c r="Q76" s="228"/>
      <c r="R76" s="228"/>
      <c r="S76" s="147"/>
      <c r="T76" s="147"/>
      <c r="AC76" s="145"/>
      <c r="AE76" s="145"/>
      <c r="AS76" s="145"/>
    </row>
    <row r="77" spans="1:56" ht="13" x14ac:dyDescent="0.3">
      <c r="A77" s="376"/>
      <c r="B77" s="376"/>
      <c r="C77" s="376"/>
      <c r="D77" s="376"/>
      <c r="E77" s="377"/>
      <c r="F77" s="377"/>
      <c r="G77" s="377"/>
      <c r="H77" s="376"/>
      <c r="I77" s="376"/>
      <c r="J77" s="376"/>
      <c r="Q77" s="228"/>
      <c r="R77" s="228"/>
      <c r="S77" s="147"/>
      <c r="T77" s="147"/>
      <c r="AB77" s="206"/>
      <c r="AC77" s="145"/>
      <c r="AS77" s="145"/>
    </row>
    <row r="78" spans="1:56" ht="15" customHeight="1" thickBot="1" x14ac:dyDescent="0.35">
      <c r="A78" s="376"/>
      <c r="B78" s="338"/>
      <c r="C78" s="338"/>
      <c r="D78" s="455"/>
      <c r="E78" s="455"/>
      <c r="F78" s="455"/>
      <c r="G78" s="377"/>
      <c r="H78" s="338"/>
      <c r="I78" s="376"/>
      <c r="J78" s="376"/>
    </row>
    <row r="79" spans="1:56" ht="35.25" customHeight="1" thickBot="1" x14ac:dyDescent="0.35">
      <c r="A79" s="376"/>
      <c r="B79" s="376"/>
      <c r="C79" s="777" t="str">
        <f>IF(D17="","Harmonic mitigation has not been selected.  The harmonic distortion is",IF(E75&lt;=U59,"This selection meets or exceeds the harmonic objective of","The required harmonic limit is not being meet.  The requirement is"))</f>
        <v>Harmonic mitigation has not been selected.  The harmonic distortion is</v>
      </c>
      <c r="D79" s="778"/>
      <c r="E79" s="778"/>
      <c r="F79" s="778"/>
      <c r="G79" s="779"/>
      <c r="H79" s="456">
        <f>U59</f>
        <v>0</v>
      </c>
      <c r="I79" s="457" t="s">
        <v>719</v>
      </c>
      <c r="J79" s="376"/>
      <c r="T79" s="147"/>
      <c r="V79" s="145"/>
      <c r="Y79" s="129"/>
      <c r="Z79" s="145"/>
    </row>
    <row r="80" spans="1:56" ht="42.75" customHeight="1" thickBot="1" x14ac:dyDescent="0.35">
      <c r="A80" s="376"/>
      <c r="B80" s="376"/>
      <c r="C80" s="775" t="str">
        <f>IF(S58&gt;0,IF(D18="",O91,IF(G75&gt;=G18,O92,O93)),O92)</f>
        <v>This selection meets or exceeds the objective displacement PF [Cos ɸ] of</v>
      </c>
      <c r="D80" s="776"/>
      <c r="E80" s="776"/>
      <c r="F80" s="776"/>
      <c r="G80" s="776"/>
      <c r="H80" s="458" t="str">
        <f>IF(S58&gt;0,V60,"")</f>
        <v/>
      </c>
      <c r="I80" s="459" t="s">
        <v>1040</v>
      </c>
      <c r="J80" s="376"/>
      <c r="X80" s="147"/>
    </row>
    <row r="81" spans="1:18" ht="13" x14ac:dyDescent="0.3">
      <c r="A81" s="376"/>
      <c r="B81" s="376"/>
      <c r="C81" s="460"/>
      <c r="D81" s="460"/>
      <c r="E81" s="460"/>
      <c r="F81" s="460"/>
      <c r="G81" s="460"/>
      <c r="H81" s="461"/>
      <c r="I81" s="462"/>
      <c r="J81" s="376"/>
      <c r="P81" s="103" t="str">
        <f>IF(G67&lt;G65,"Full compliance to objectives may not be achieved due to an undersized 'User Selected AccuSine rating'!","")</f>
        <v/>
      </c>
    </row>
    <row r="82" spans="1:18" ht="13" x14ac:dyDescent="0.3">
      <c r="A82" s="376"/>
      <c r="B82" s="376"/>
      <c r="C82" s="463" t="str">
        <f>IF(R88=1,"",IF(R88&gt;1,IF(E75&gt;H79, N26,IF(G75&lt;H80,N26,"")),""))</f>
        <v/>
      </c>
      <c r="D82" s="463"/>
      <c r="E82" s="463"/>
      <c r="F82" s="463"/>
      <c r="G82" s="463"/>
      <c r="H82" s="463"/>
      <c r="I82" s="463"/>
      <c r="J82" s="376"/>
      <c r="P82" s="103" t="str">
        <f>IF(G67&lt;G65,"Harmonic mitigation and/or displacement PF correction may not be achieved due to an undersized 'User Selected AccuSine rating'!","")</f>
        <v/>
      </c>
    </row>
    <row r="83" spans="1:18" ht="15.5" x14ac:dyDescent="0.35">
      <c r="A83" s="376"/>
      <c r="B83" s="376"/>
      <c r="C83" s="682" t="s">
        <v>183</v>
      </c>
      <c r="D83" s="682"/>
      <c r="E83" s="682"/>
      <c r="F83" s="682"/>
      <c r="G83" s="682"/>
      <c r="H83" s="682"/>
      <c r="I83" s="682"/>
      <c r="J83" s="376"/>
    </row>
    <row r="84" spans="1:18" ht="13" x14ac:dyDescent="0.3">
      <c r="A84" s="376"/>
      <c r="B84" s="376"/>
      <c r="C84" s="464"/>
      <c r="D84" s="464"/>
      <c r="E84" s="464"/>
      <c r="F84" s="464"/>
      <c r="G84" s="464"/>
      <c r="H84" s="464"/>
      <c r="I84" s="464"/>
      <c r="J84" s="376"/>
    </row>
    <row r="85" spans="1:18" ht="18.5" x14ac:dyDescent="0.45">
      <c r="A85" s="376"/>
      <c r="B85" s="376"/>
      <c r="C85" s="758" t="s">
        <v>314</v>
      </c>
      <c r="D85" s="758"/>
      <c r="E85" s="758"/>
      <c r="F85" s="758"/>
      <c r="G85" s="758"/>
      <c r="H85" s="758"/>
      <c r="I85" s="758"/>
      <c r="J85" s="376"/>
    </row>
    <row r="86" spans="1:18" ht="13" x14ac:dyDescent="0.3">
      <c r="A86" s="376"/>
      <c r="B86" s="376"/>
      <c r="C86" s="376"/>
      <c r="D86" s="376"/>
      <c r="E86" s="377"/>
      <c r="F86" s="377"/>
      <c r="G86" s="377"/>
      <c r="H86" s="376"/>
      <c r="I86" s="376"/>
      <c r="J86" s="376"/>
    </row>
    <row r="87" spans="1:18" ht="13" x14ac:dyDescent="0.3">
      <c r="A87" s="376"/>
      <c r="B87" s="376"/>
      <c r="C87" s="376"/>
      <c r="D87" s="376"/>
      <c r="E87" s="377"/>
      <c r="F87" s="377"/>
      <c r="G87" s="377"/>
      <c r="H87" s="376"/>
      <c r="I87" s="376"/>
      <c r="J87" s="376"/>
    </row>
    <row r="88" spans="1:18" ht="15.5" x14ac:dyDescent="0.35">
      <c r="A88" s="376"/>
      <c r="B88" s="682" t="s">
        <v>210</v>
      </c>
      <c r="C88" s="682"/>
      <c r="D88" s="682"/>
      <c r="E88" s="682"/>
      <c r="F88" s="682"/>
      <c r="G88" s="682"/>
      <c r="H88" s="682"/>
      <c r="I88" s="682"/>
      <c r="J88" s="465"/>
      <c r="O88" s="103">
        <f>IF(D17="",0,1)</f>
        <v>0</v>
      </c>
      <c r="P88" s="103">
        <f>IF(D18="",0,1)</f>
        <v>0</v>
      </c>
      <c r="R88" s="103">
        <f>SUM(O88:Q88)</f>
        <v>0</v>
      </c>
    </row>
    <row r="91" spans="1:18" ht="16.5" customHeight="1" x14ac:dyDescent="0.25">
      <c r="O91" s="103" t="s">
        <v>186</v>
      </c>
    </row>
    <row r="92" spans="1:18" ht="10.5" customHeight="1" x14ac:dyDescent="0.3">
      <c r="O92" s="229" t="s">
        <v>1054</v>
      </c>
    </row>
    <row r="93" spans="1:18" ht="19.5" customHeight="1" x14ac:dyDescent="0.3">
      <c r="O93" s="230" t="s">
        <v>718</v>
      </c>
    </row>
    <row r="97" spans="7:15" x14ac:dyDescent="0.25">
      <c r="K97" s="125"/>
      <c r="O97" s="103" t="s">
        <v>353</v>
      </c>
    </row>
    <row r="99" spans="7:15" x14ac:dyDescent="0.25">
      <c r="G99" s="231"/>
      <c r="O99" s="103" t="s">
        <v>240</v>
      </c>
    </row>
    <row r="110" spans="7:15" x14ac:dyDescent="0.25">
      <c r="K110" s="103" t="s">
        <v>35</v>
      </c>
    </row>
  </sheetData>
  <mergeCells count="69">
    <mergeCell ref="BL36:BL37"/>
    <mergeCell ref="A54:C55"/>
    <mergeCell ref="E70:F70"/>
    <mergeCell ref="G70:H70"/>
    <mergeCell ref="A64:E64"/>
    <mergeCell ref="E55:F55"/>
    <mergeCell ref="G55:H55"/>
    <mergeCell ref="D65:F65"/>
    <mergeCell ref="D67:F67"/>
    <mergeCell ref="D69:H69"/>
    <mergeCell ref="E16:J16"/>
    <mergeCell ref="H17:J19"/>
    <mergeCell ref="E33:F33"/>
    <mergeCell ref="E32:F32"/>
    <mergeCell ref="C23:I23"/>
    <mergeCell ref="A24:J24"/>
    <mergeCell ref="E25:F25"/>
    <mergeCell ref="D22:H22"/>
    <mergeCell ref="E20:G20"/>
    <mergeCell ref="B20:C20"/>
    <mergeCell ref="E27:F27"/>
    <mergeCell ref="E28:F28"/>
    <mergeCell ref="E29:F29"/>
    <mergeCell ref="E26:F26"/>
    <mergeCell ref="A1:J1"/>
    <mergeCell ref="E11:F11"/>
    <mergeCell ref="C9:E9"/>
    <mergeCell ref="C11:D11"/>
    <mergeCell ref="G10:I11"/>
    <mergeCell ref="A2:C2"/>
    <mergeCell ref="B5:E6"/>
    <mergeCell ref="F5:I6"/>
    <mergeCell ref="D2:F2"/>
    <mergeCell ref="A3:C3"/>
    <mergeCell ref="D3:F3"/>
    <mergeCell ref="G3:H3"/>
    <mergeCell ref="I3:J3"/>
    <mergeCell ref="N13:X13"/>
    <mergeCell ref="C19:F19"/>
    <mergeCell ref="E18:F18"/>
    <mergeCell ref="Q64:S64"/>
    <mergeCell ref="N30:X30"/>
    <mergeCell ref="E34:F34"/>
    <mergeCell ref="B18:C18"/>
    <mergeCell ref="E30:F30"/>
    <mergeCell ref="E31:F31"/>
    <mergeCell ref="C13:E13"/>
    <mergeCell ref="C14:H14"/>
    <mergeCell ref="B17:C17"/>
    <mergeCell ref="E17:F17"/>
    <mergeCell ref="B15:H15"/>
    <mergeCell ref="A52:G53"/>
    <mergeCell ref="B16:D16"/>
    <mergeCell ref="C83:I83"/>
    <mergeCell ref="C85:I85"/>
    <mergeCell ref="B88:I88"/>
    <mergeCell ref="AP35:AS35"/>
    <mergeCell ref="AQ36:AQ37"/>
    <mergeCell ref="Y36:Y37"/>
    <mergeCell ref="A38:F38"/>
    <mergeCell ref="H38:I38"/>
    <mergeCell ref="E35:F35"/>
    <mergeCell ref="E46:F46"/>
    <mergeCell ref="C48:F48"/>
    <mergeCell ref="D50:F50"/>
    <mergeCell ref="D54:H54"/>
    <mergeCell ref="D63:F63"/>
    <mergeCell ref="C80:G80"/>
    <mergeCell ref="C79:G79"/>
  </mergeCells>
  <phoneticPr fontId="0" type="noConversion"/>
  <dataValidations xWindow="387" yWindow="386" count="6">
    <dataValidation type="list" allowBlank="1" showInputMessage="1" showErrorMessage="1" errorTitle="Power Rating" error="Must choose one." promptTitle="Power Rating" prompt="Choose one." sqref="D40:D44 D26:D35" xr:uid="{00000000-0002-0000-0500-000000000000}">
      <formula1>PowerRating</formula1>
    </dataValidation>
    <dataValidation type="list" allowBlank="1" showInputMessage="1" showErrorMessage="1" errorTitle="Type of Equipment" error="One must be selected!" promptTitle="Type of Equipment" prompt="Select one." sqref="E26:E35" xr:uid="{00000000-0002-0000-0500-000001000000}">
      <formula1>$AG$17:$AG$27</formula1>
    </dataValidation>
    <dataValidation type="list" allowBlank="1" showInputMessage="1" showErrorMessage="1" promptTitle="# of Pulses" prompt="Select one." sqref="G26:G35" xr:uid="{00000000-0002-0000-0500-000002000000}">
      <formula1>$AE$21:$AE$24</formula1>
    </dataValidation>
    <dataValidation type="list" allowBlank="1" showInputMessage="1" showErrorMessage="1" errorTitle="PCC Selection" error="A selection must be made!_x000a_" promptTitle="PCC Selection" prompt="Choose one." sqref="E11" xr:uid="{00000000-0002-0000-0500-000003000000}">
      <formula1>PCC</formula1>
    </dataValidation>
    <dataValidation type="list" allowBlank="1" showInputMessage="1" showErrorMessage="1" promptTitle="Standard Applied" prompt="Choose one, if applicable." sqref="F13" xr:uid="{00000000-0002-0000-0500-000004000000}">
      <formula1>$Z$1:$Z$3</formula1>
    </dataValidation>
    <dataValidation type="list" allowBlank="1" showInputMessage="1" showErrorMessage="1" sqref="D17:D18" xr:uid="{00000000-0002-0000-0500-000005000000}">
      <formula1>$Y$1:$Y$3</formula1>
    </dataValidation>
  </dataValidations>
  <pageMargins left="0.75" right="0.75" top="1.1499999999999999" bottom="1.22" header="0.5" footer="0.5"/>
  <pageSetup fitToHeight="2" orientation="portrait" r:id="rId1"/>
  <headerFooter alignWithMargins="0">
    <oddHeader>&amp;C&amp;G</oddHeader>
    <oddFooter>&amp;L&amp;F&amp;R&amp;D&amp;C&amp;"Calibri"&amp;11&amp;K000000Page &amp;P of &amp;N_x000D_&amp;1#&amp;"Arial"&amp;6&amp;K626469Internal</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43"/>
  <sheetViews>
    <sheetView showGridLines="0" showRowColHeaders="0" workbookViewId="0">
      <selection activeCell="J13" sqref="J13"/>
    </sheetView>
  </sheetViews>
  <sheetFormatPr defaultRowHeight="12.5" x14ac:dyDescent="0.25"/>
  <cols>
    <col min="2" max="2" width="9.36328125" bestFit="1" customWidth="1"/>
    <col min="3" max="3" width="9.08984375" customWidth="1"/>
    <col min="4" max="5" width="19.6328125" customWidth="1"/>
    <col min="6" max="6" width="17.453125" customWidth="1"/>
    <col min="7" max="7" width="14.453125" customWidth="1"/>
    <col min="8" max="8" width="17" customWidth="1"/>
    <col min="10" max="10" width="16.08984375" bestFit="1" customWidth="1"/>
    <col min="12" max="27" width="9.08984375" hidden="1" customWidth="1"/>
    <col min="28" max="28" width="13.6328125" hidden="1" customWidth="1"/>
    <col min="29" max="44" width="9.08984375" hidden="1" customWidth="1"/>
    <col min="45" max="62" width="0" hidden="1" customWidth="1"/>
  </cols>
  <sheetData>
    <row r="1" spans="1:40" ht="24" thickBot="1" x14ac:dyDescent="0.6">
      <c r="A1" s="864" t="s">
        <v>1041</v>
      </c>
      <c r="B1" s="865"/>
      <c r="C1" s="865"/>
      <c r="D1" s="865"/>
      <c r="E1" s="865"/>
      <c r="F1" s="865"/>
      <c r="G1" s="865"/>
      <c r="H1" s="865"/>
      <c r="I1" s="865"/>
      <c r="J1" s="866"/>
      <c r="K1" s="474"/>
      <c r="L1" s="474"/>
    </row>
    <row r="2" spans="1:40" ht="18.5" x14ac:dyDescent="0.45">
      <c r="A2" s="474"/>
      <c r="B2" s="474"/>
      <c r="C2" s="474"/>
      <c r="D2" s="474"/>
      <c r="E2" s="474"/>
      <c r="F2" s="474"/>
      <c r="G2" s="474"/>
      <c r="H2" s="474"/>
      <c r="I2" s="474"/>
      <c r="J2" s="474"/>
      <c r="K2" s="474"/>
      <c r="L2" s="474"/>
    </row>
    <row r="3" spans="1:40" ht="18.5" x14ac:dyDescent="0.45">
      <c r="A3" s="870" t="str">
        <f>'Electrical System 1-line'!B3</f>
        <v>Customer Name:</v>
      </c>
      <c r="B3" s="870"/>
      <c r="C3" s="870"/>
      <c r="D3" s="876" t="str">
        <f>IF('Electrical System 1-line'!F2="","",'Electrical System 1-line'!F2)</f>
        <v/>
      </c>
      <c r="E3" s="877"/>
      <c r="F3" s="878"/>
      <c r="G3" s="475"/>
      <c r="H3" s="475"/>
      <c r="I3" s="475" t="str">
        <f>'Electrical System 1-line'!M2</f>
        <v>Date:</v>
      </c>
      <c r="J3" s="476">
        <f>'Electrical System 1-line'!N2</f>
        <v>0</v>
      </c>
      <c r="K3" s="474"/>
      <c r="L3" s="474"/>
    </row>
    <row r="4" spans="1:40" ht="18.5" x14ac:dyDescent="0.45">
      <c r="A4" s="879" t="str">
        <f>'Electrical System 1-line'!H4</f>
        <v>Project Name:</v>
      </c>
      <c r="B4" s="879"/>
      <c r="C4" s="879"/>
      <c r="D4" s="876" t="str">
        <f>IF('Electrical System 1-line'!F3="","",'Electrical System 1-line'!F3)</f>
        <v/>
      </c>
      <c r="E4" s="877"/>
      <c r="F4" s="878"/>
      <c r="G4" s="879" t="str">
        <f>'Electrical System 1-line'!B4</f>
        <v>Project ID:</v>
      </c>
      <c r="H4" s="879"/>
      <c r="I4" s="867" t="str">
        <f>IF('Electrical System 1-line'!J3="","",'Electrical System 1-line'!J3)</f>
        <v/>
      </c>
      <c r="J4" s="868"/>
      <c r="K4" s="474"/>
      <c r="L4" s="474"/>
    </row>
    <row r="5" spans="1:40" ht="18.5" x14ac:dyDescent="0.45">
      <c r="A5" s="474"/>
      <c r="B5" s="474"/>
      <c r="C5" s="474"/>
      <c r="D5" s="474"/>
      <c r="E5" s="474"/>
      <c r="F5" s="474"/>
      <c r="G5" s="474"/>
      <c r="H5" s="474"/>
      <c r="I5" s="474"/>
      <c r="J5" s="474"/>
      <c r="K5" s="474"/>
      <c r="L5" s="474"/>
    </row>
    <row r="6" spans="1:40" ht="18.5" x14ac:dyDescent="0.45">
      <c r="A6" s="474"/>
      <c r="B6" s="758" t="s">
        <v>704</v>
      </c>
      <c r="C6" s="758"/>
      <c r="D6" s="758"/>
      <c r="E6" s="758"/>
      <c r="F6" s="758"/>
      <c r="G6" s="758"/>
      <c r="H6" s="758"/>
      <c r="I6" s="758"/>
      <c r="J6" s="758"/>
      <c r="K6" s="474"/>
      <c r="L6" s="474"/>
    </row>
    <row r="7" spans="1:40" ht="19" thickBot="1" x14ac:dyDescent="0.5">
      <c r="A7" s="474"/>
      <c r="B7" s="474"/>
      <c r="C7" s="474"/>
      <c r="D7" s="474"/>
      <c r="E7" s="474"/>
      <c r="F7" s="474"/>
      <c r="G7" s="474"/>
      <c r="H7" s="474"/>
      <c r="I7" s="474"/>
      <c r="J7" s="474"/>
      <c r="K7" s="474"/>
      <c r="L7" s="474"/>
      <c r="T7" s="147"/>
      <c r="U7" s="103"/>
      <c r="V7" s="103"/>
      <c r="W7" s="103"/>
      <c r="X7" s="103"/>
      <c r="Y7" s="103"/>
      <c r="Z7" s="103"/>
      <c r="AA7" s="103"/>
      <c r="AB7" s="103"/>
      <c r="AC7" s="103"/>
      <c r="AD7" s="103"/>
      <c r="AE7" s="103"/>
      <c r="AF7" s="103"/>
      <c r="AG7" s="103"/>
      <c r="AH7" s="103"/>
      <c r="AI7" s="103"/>
      <c r="AJ7" s="103"/>
      <c r="AK7" s="103"/>
      <c r="AL7" s="103"/>
      <c r="AM7" s="103"/>
      <c r="AN7" s="103"/>
    </row>
    <row r="8" spans="1:40" ht="18.75" customHeight="1" thickBot="1" x14ac:dyDescent="0.5">
      <c r="A8" s="474"/>
      <c r="B8" s="842" t="s">
        <v>633</v>
      </c>
      <c r="C8" s="843"/>
      <c r="D8" s="843"/>
      <c r="E8" s="843"/>
      <c r="F8" s="843"/>
      <c r="G8" s="844"/>
      <c r="H8" s="869" t="s">
        <v>705</v>
      </c>
      <c r="I8" s="870"/>
      <c r="J8" s="477">
        <f>'AccuSine Sizing Tool'!F9</f>
        <v>0</v>
      </c>
      <c r="K8" s="474" t="s">
        <v>252</v>
      </c>
      <c r="L8" s="474"/>
      <c r="T8" s="156"/>
      <c r="U8" s="157" t="s">
        <v>636</v>
      </c>
      <c r="V8" s="157"/>
      <c r="W8" s="158"/>
      <c r="X8" s="157">
        <f>IF('AccuSine Sizing Tool'!F9&lt;=690,'AccuSine Sizing Tool'!F9,IF('AccuSine Sizing Tool'!F9&gt;690,480,0))</f>
        <v>0</v>
      </c>
      <c r="Y8" s="157"/>
      <c r="Z8" s="157" t="s">
        <v>646</v>
      </c>
      <c r="AA8" s="158">
        <f>IF('AccuSine Sizing Tool'!D17="x",0,0.05)</f>
        <v>0.05</v>
      </c>
      <c r="AB8" s="157"/>
      <c r="AC8" s="159"/>
      <c r="AD8" s="103"/>
      <c r="AE8" s="103"/>
      <c r="AF8" s="103"/>
      <c r="AG8" s="103"/>
      <c r="AH8" s="103"/>
      <c r="AI8" s="103"/>
      <c r="AJ8" s="103"/>
      <c r="AK8" s="103"/>
      <c r="AL8" s="103"/>
      <c r="AM8" s="103"/>
      <c r="AN8" s="103"/>
    </row>
    <row r="9" spans="1:40" ht="63.75" customHeight="1" thickBot="1" x14ac:dyDescent="0.5">
      <c r="A9" s="474"/>
      <c r="B9" s="478" t="s">
        <v>73</v>
      </c>
      <c r="C9" s="479" t="s">
        <v>149</v>
      </c>
      <c r="D9" s="479" t="s">
        <v>634</v>
      </c>
      <c r="E9" s="479" t="s">
        <v>653</v>
      </c>
      <c r="F9" s="479" t="s">
        <v>635</v>
      </c>
      <c r="G9" s="480" t="s">
        <v>654</v>
      </c>
      <c r="H9" s="481"/>
      <c r="I9" s="482"/>
      <c r="J9" s="482"/>
      <c r="K9" s="474"/>
      <c r="L9" s="474"/>
      <c r="T9" s="165"/>
      <c r="U9" s="166" t="s">
        <v>644</v>
      </c>
      <c r="V9" s="166" t="s">
        <v>390</v>
      </c>
      <c r="W9" s="166" t="s">
        <v>638</v>
      </c>
      <c r="X9" s="166" t="s">
        <v>637</v>
      </c>
      <c r="Y9" s="166" t="s">
        <v>640</v>
      </c>
      <c r="Z9" s="166" t="s">
        <v>639</v>
      </c>
      <c r="AA9" s="166" t="s">
        <v>641</v>
      </c>
      <c r="AB9" s="166" t="s">
        <v>1004</v>
      </c>
      <c r="AC9" s="167" t="s">
        <v>710</v>
      </c>
      <c r="AD9" s="236"/>
      <c r="AE9" s="236"/>
      <c r="AF9" s="236"/>
      <c r="AG9" s="236"/>
      <c r="AH9" s="236"/>
      <c r="AI9" s="236"/>
      <c r="AJ9" s="236"/>
      <c r="AK9" s="236"/>
      <c r="AL9" s="236"/>
      <c r="AM9" s="236"/>
      <c r="AN9" s="236"/>
    </row>
    <row r="10" spans="1:40" ht="18.5" x14ac:dyDescent="0.45">
      <c r="A10" s="474"/>
      <c r="B10" s="483">
        <v>1</v>
      </c>
      <c r="C10" s="643"/>
      <c r="D10" s="643"/>
      <c r="E10" s="643"/>
      <c r="F10" s="644"/>
      <c r="G10" s="645"/>
      <c r="H10" s="845" t="str">
        <f>IF(SUM(C10:C13)&gt;0,"Enter PF values as negative numbers.","")</f>
        <v/>
      </c>
      <c r="I10" s="846"/>
      <c r="J10" s="846"/>
      <c r="K10" s="846"/>
      <c r="L10" s="474"/>
      <c r="T10" s="174">
        <v>1</v>
      </c>
      <c r="U10" s="175">
        <f>C10*D10</f>
        <v>0</v>
      </c>
      <c r="V10" s="175">
        <f>U10*F10</f>
        <v>0</v>
      </c>
      <c r="W10" s="175">
        <f>IF(U10=0,0,V10/(ABS(E10)))</f>
        <v>0</v>
      </c>
      <c r="X10" s="175">
        <f>U10*SIN(ACOS(ABS(E10)))</f>
        <v>0</v>
      </c>
      <c r="Y10" s="176">
        <f>E10-0.2*(1-F10)*E10</f>
        <v>0</v>
      </c>
      <c r="Z10" s="175">
        <f>$V10*TAN(ACOS(ABS(Y10)))</f>
        <v>0</v>
      </c>
      <c r="AA10" s="175">
        <f>$V10*TAN(ACOS(ABS(G10)))</f>
        <v>0</v>
      </c>
      <c r="AB10" s="175">
        <f>Z10-AA10</f>
        <v>0</v>
      </c>
      <c r="AC10" s="177" t="e">
        <f>AB10/J$8/(3^0.5)*1000</f>
        <v>#DIV/0!</v>
      </c>
      <c r="AD10" s="103"/>
      <c r="AE10" s="103"/>
      <c r="AF10" s="103"/>
      <c r="AG10" s="103"/>
      <c r="AH10" s="103"/>
      <c r="AI10" s="103"/>
      <c r="AJ10" s="103"/>
      <c r="AK10" s="103"/>
      <c r="AL10" s="103"/>
      <c r="AM10" s="103"/>
      <c r="AN10" s="103"/>
    </row>
    <row r="11" spans="1:40" ht="18.5" x14ac:dyDescent="0.45">
      <c r="A11" s="474"/>
      <c r="B11" s="484">
        <v>2</v>
      </c>
      <c r="C11" s="485"/>
      <c r="D11" s="485"/>
      <c r="E11" s="485"/>
      <c r="F11" s="486"/>
      <c r="G11" s="487"/>
      <c r="H11" s="481"/>
      <c r="I11" s="482"/>
      <c r="J11" s="482"/>
      <c r="K11" s="474"/>
      <c r="L11" s="474"/>
      <c r="T11" s="181">
        <v>2</v>
      </c>
      <c r="U11" s="175">
        <f t="shared" ref="U11:U13" si="0">C11*D11</f>
        <v>0</v>
      </c>
      <c r="V11" s="175">
        <f t="shared" ref="V11:V13" si="1">U11*F11</f>
        <v>0</v>
      </c>
      <c r="W11" s="175">
        <f t="shared" ref="W11:W13" si="2">IF(U11=0,0,V11/(ABS(E11)))</f>
        <v>0</v>
      </c>
      <c r="X11" s="175">
        <f t="shared" ref="X11:X13" si="3">U11*SIN(ACOS(ABS(E11)))</f>
        <v>0</v>
      </c>
      <c r="Y11" s="176">
        <f t="shared" ref="Y11:Y13" si="4">E11-0.2*(1-F11)*E11</f>
        <v>0</v>
      </c>
      <c r="Z11" s="175">
        <f t="shared" ref="Z11:Z13" si="5">$V11*TAN(ACOS(ABS(Y11)))</f>
        <v>0</v>
      </c>
      <c r="AA11" s="175">
        <f t="shared" ref="AA11:AA13" si="6">$V11*TAN(ACOS(ABS(G11)))</f>
        <v>0</v>
      </c>
      <c r="AB11" s="175">
        <f>Z11-AA11</f>
        <v>0</v>
      </c>
      <c r="AC11" s="177" t="e">
        <f t="shared" ref="AC11:AC13" si="7">AB11/J$8/(3^0.5)*1000</f>
        <v>#DIV/0!</v>
      </c>
      <c r="AD11" s="103"/>
      <c r="AE11" s="103"/>
      <c r="AF11" s="103"/>
      <c r="AG11" s="103"/>
      <c r="AH11" s="103"/>
      <c r="AI11" s="103"/>
      <c r="AJ11" s="103"/>
      <c r="AK11" s="103"/>
      <c r="AL11" s="103"/>
      <c r="AM11" s="103"/>
      <c r="AN11" s="103"/>
    </row>
    <row r="12" spans="1:40" ht="18.5" x14ac:dyDescent="0.45">
      <c r="A12" s="474"/>
      <c r="B12" s="484">
        <v>3</v>
      </c>
      <c r="C12" s="485"/>
      <c r="D12" s="485"/>
      <c r="E12" s="485"/>
      <c r="F12" s="486"/>
      <c r="G12" s="487"/>
      <c r="H12" s="481"/>
      <c r="I12" s="482"/>
      <c r="J12" s="482"/>
      <c r="K12" s="474"/>
      <c r="L12" s="474"/>
      <c r="T12" s="181">
        <v>3</v>
      </c>
      <c r="U12" s="175">
        <f t="shared" si="0"/>
        <v>0</v>
      </c>
      <c r="V12" s="175">
        <f t="shared" si="1"/>
        <v>0</v>
      </c>
      <c r="W12" s="175">
        <f t="shared" si="2"/>
        <v>0</v>
      </c>
      <c r="X12" s="175">
        <f t="shared" si="3"/>
        <v>0</v>
      </c>
      <c r="Y12" s="176">
        <f t="shared" si="4"/>
        <v>0</v>
      </c>
      <c r="Z12" s="175">
        <f t="shared" si="5"/>
        <v>0</v>
      </c>
      <c r="AA12" s="175">
        <f t="shared" si="6"/>
        <v>0</v>
      </c>
      <c r="AB12" s="175">
        <f>Z12-AA12</f>
        <v>0</v>
      </c>
      <c r="AC12" s="177" t="e">
        <f t="shared" si="7"/>
        <v>#DIV/0!</v>
      </c>
      <c r="AD12" s="103"/>
      <c r="AE12" s="103"/>
      <c r="AF12" s="103"/>
      <c r="AG12" s="103"/>
      <c r="AH12" s="103"/>
      <c r="AI12" s="103"/>
      <c r="AJ12" s="103"/>
      <c r="AK12" s="103"/>
      <c r="AL12" s="103"/>
      <c r="AM12" s="103"/>
      <c r="AN12" s="103"/>
    </row>
    <row r="13" spans="1:40" ht="19" thickBot="1" x14ac:dyDescent="0.5">
      <c r="A13" s="474"/>
      <c r="B13" s="488">
        <v>4</v>
      </c>
      <c r="C13" s="489"/>
      <c r="D13" s="489"/>
      <c r="E13" s="489"/>
      <c r="F13" s="490"/>
      <c r="G13" s="491"/>
      <c r="H13" s="481"/>
      <c r="I13" s="482"/>
      <c r="J13" s="482"/>
      <c r="K13" s="474"/>
      <c r="L13" s="474"/>
      <c r="T13" s="187">
        <v>4</v>
      </c>
      <c r="U13" s="175">
        <f t="shared" si="0"/>
        <v>0</v>
      </c>
      <c r="V13" s="175">
        <f t="shared" si="1"/>
        <v>0</v>
      </c>
      <c r="W13" s="175">
        <f t="shared" si="2"/>
        <v>0</v>
      </c>
      <c r="X13" s="175">
        <f t="shared" si="3"/>
        <v>0</v>
      </c>
      <c r="Y13" s="176">
        <f t="shared" si="4"/>
        <v>0</v>
      </c>
      <c r="Z13" s="175">
        <f t="shared" si="5"/>
        <v>0</v>
      </c>
      <c r="AA13" s="175">
        <f t="shared" si="6"/>
        <v>0</v>
      </c>
      <c r="AB13" s="175">
        <f>Z13-AA13</f>
        <v>0</v>
      </c>
      <c r="AC13" s="177" t="e">
        <f t="shared" si="7"/>
        <v>#DIV/0!</v>
      </c>
      <c r="AD13" s="103"/>
      <c r="AE13" s="103"/>
      <c r="AF13" s="103"/>
      <c r="AG13" s="103"/>
      <c r="AH13" s="103"/>
      <c r="AI13" s="103"/>
      <c r="AJ13" s="103"/>
      <c r="AK13" s="103"/>
      <c r="AL13" s="103"/>
      <c r="AM13" s="103"/>
      <c r="AN13" s="103"/>
    </row>
    <row r="14" spans="1:40" ht="19" thickBot="1" x14ac:dyDescent="0.5">
      <c r="A14" s="474"/>
      <c r="B14" s="847" t="s">
        <v>642</v>
      </c>
      <c r="C14" s="847"/>
      <c r="D14" s="847"/>
      <c r="E14" s="847"/>
      <c r="F14" s="847"/>
      <c r="G14" s="847"/>
      <c r="H14" s="847"/>
      <c r="I14" s="847"/>
      <c r="J14" s="847"/>
      <c r="K14" s="847"/>
      <c r="L14" s="474"/>
      <c r="T14" s="103" t="s">
        <v>643</v>
      </c>
      <c r="U14" s="188">
        <f>SUM(U10:U13)</f>
        <v>0</v>
      </c>
      <c r="V14" s="188">
        <f>SUM(V10:V13)</f>
        <v>0</v>
      </c>
      <c r="W14" s="189">
        <f>SUM(W10:W13)</f>
        <v>0</v>
      </c>
      <c r="X14" s="189">
        <f>SUM(X10:X13)</f>
        <v>0</v>
      </c>
      <c r="Y14" s="190">
        <f>IF(V14=0,0,-COS(ATAN(Z14/V14)))</f>
        <v>0</v>
      </c>
      <c r="Z14" s="189">
        <f>SUM(Z10:Z13)</f>
        <v>0</v>
      </c>
      <c r="AA14" s="189">
        <f>SUM(AA10:AA13)</f>
        <v>0</v>
      </c>
      <c r="AB14" s="189">
        <f>SUM(AB10:AB13)</f>
        <v>0</v>
      </c>
      <c r="AC14" s="191" t="e">
        <f>SUM(AC10:AC13)</f>
        <v>#DIV/0!</v>
      </c>
      <c r="AD14" s="122"/>
      <c r="AE14" s="103"/>
      <c r="AF14" s="103"/>
      <c r="AG14" s="103"/>
      <c r="AH14" s="103"/>
      <c r="AI14" s="103"/>
      <c r="AJ14" s="148"/>
      <c r="AK14" s="148"/>
      <c r="AL14" s="103"/>
      <c r="AM14" s="103"/>
      <c r="AN14" s="147"/>
    </row>
    <row r="15" spans="1:40" ht="18.5" x14ac:dyDescent="0.45">
      <c r="A15" s="474"/>
      <c r="B15" s="474"/>
      <c r="C15" s="474"/>
      <c r="D15" s="474"/>
      <c r="E15" s="474"/>
      <c r="F15" s="474"/>
      <c r="G15" s="474"/>
      <c r="H15" s="474"/>
      <c r="I15" s="474"/>
      <c r="J15" s="474"/>
      <c r="K15" s="474"/>
      <c r="L15" s="474"/>
      <c r="T15" s="103" t="s">
        <v>649</v>
      </c>
      <c r="U15" s="196" t="e">
        <f>U14*1000/$X$8/3^0.5</f>
        <v>#DIV/0!</v>
      </c>
      <c r="V15" s="196" t="e">
        <f>V14*1000/$X$8/3^0.5</f>
        <v>#DIV/0!</v>
      </c>
      <c r="W15" s="196" t="e">
        <f>W14*1000/$X$8/3^0.5</f>
        <v>#DIV/0!</v>
      </c>
      <c r="X15" s="196" t="e">
        <f>X14*1000/$X$8/3^0.5</f>
        <v>#DIV/0!</v>
      </c>
      <c r="Y15" s="103"/>
      <c r="Z15" s="196" t="e">
        <f>Z14*1000/$X$8/3^0.5</f>
        <v>#DIV/0!</v>
      </c>
      <c r="AA15" s="196" t="e">
        <f>AA14*1000/$X$8/3^0.5</f>
        <v>#DIV/0!</v>
      </c>
      <c r="AB15" s="196" t="e">
        <f>AB14*1000/$X$8/3^0.5</f>
        <v>#DIV/0!</v>
      </c>
      <c r="AC15" s="103"/>
      <c r="AD15" s="122"/>
      <c r="AE15" s="103"/>
      <c r="AF15" s="103"/>
      <c r="AG15" s="103"/>
      <c r="AH15" s="103"/>
      <c r="AI15" s="103"/>
      <c r="AJ15" s="103"/>
      <c r="AK15" s="103"/>
      <c r="AL15" s="103"/>
      <c r="AM15" s="103"/>
      <c r="AN15" s="103"/>
    </row>
    <row r="16" spans="1:40" ht="19" thickBot="1" x14ac:dyDescent="0.5">
      <c r="A16" s="474"/>
      <c r="B16" s="474"/>
      <c r="C16" s="474"/>
      <c r="D16" s="474"/>
      <c r="E16" s="474"/>
      <c r="F16" s="474"/>
      <c r="G16" s="474"/>
      <c r="H16" s="474"/>
      <c r="I16" s="474"/>
      <c r="J16" s="474"/>
      <c r="K16" s="474"/>
      <c r="L16" s="474"/>
      <c r="T16" s="103"/>
      <c r="U16" s="103"/>
      <c r="V16" s="103"/>
      <c r="W16" s="103"/>
      <c r="X16" s="103" t="s">
        <v>648</v>
      </c>
      <c r="Y16" s="103">
        <f>1/(1+AA8^2)^0.5</f>
        <v>0.99875233887784465</v>
      </c>
      <c r="Z16" s="103"/>
      <c r="AA16" s="103"/>
      <c r="AB16" s="103"/>
      <c r="AC16" s="103"/>
      <c r="AD16" s="103"/>
      <c r="AE16" s="103"/>
      <c r="AF16" s="103"/>
      <c r="AG16" s="103"/>
      <c r="AH16" s="103"/>
      <c r="AI16" s="103"/>
      <c r="AJ16" s="103"/>
      <c r="AK16" s="178"/>
      <c r="AL16" s="103"/>
      <c r="AM16" s="103"/>
      <c r="AN16" s="103"/>
    </row>
    <row r="17" spans="1:40" ht="19" thickBot="1" x14ac:dyDescent="0.5">
      <c r="A17" s="474"/>
      <c r="B17" s="474"/>
      <c r="C17" s="474"/>
      <c r="D17" s="848" t="s">
        <v>239</v>
      </c>
      <c r="E17" s="849"/>
      <c r="F17" s="849"/>
      <c r="G17" s="849"/>
      <c r="H17" s="850"/>
      <c r="I17" s="492"/>
      <c r="J17" s="474"/>
      <c r="K17" s="474"/>
      <c r="L17" s="474"/>
      <c r="T17" s="147"/>
      <c r="U17" s="103"/>
      <c r="V17" s="103"/>
      <c r="W17" s="103"/>
      <c r="X17" s="103" t="s">
        <v>647</v>
      </c>
      <c r="Y17" s="103">
        <f>Y14*1/(1+AA$8^2)^0.5</f>
        <v>0</v>
      </c>
      <c r="Z17" s="103"/>
      <c r="AA17" s="103"/>
      <c r="AB17" s="103" t="s">
        <v>703</v>
      </c>
      <c r="AC17" s="103" t="e">
        <f>+IF('AccuSine Sizing Tool'!G67&gt;=ABS(AC14),0,ABS(AC14)-'AccuSine Sizing Tool'!G67)</f>
        <v>#DIV/0!</v>
      </c>
      <c r="AD17" s="103"/>
      <c r="AE17" s="103"/>
      <c r="AF17" s="103"/>
      <c r="AG17" s="103"/>
      <c r="AH17" s="103"/>
      <c r="AI17" s="103"/>
      <c r="AJ17" s="103"/>
      <c r="AK17" s="103"/>
      <c r="AL17" s="103"/>
      <c r="AM17" s="103"/>
      <c r="AN17" s="103"/>
    </row>
    <row r="18" spans="1:40" ht="54.75" customHeight="1" thickBot="1" x14ac:dyDescent="0.5">
      <c r="A18" s="474"/>
      <c r="B18" s="474"/>
      <c r="C18" s="474"/>
      <c r="D18" s="493" t="s">
        <v>158</v>
      </c>
      <c r="E18" s="769" t="s">
        <v>383</v>
      </c>
      <c r="F18" s="771"/>
      <c r="G18" s="851" t="s">
        <v>381</v>
      </c>
      <c r="H18" s="852"/>
      <c r="I18" s="494"/>
      <c r="J18" s="474"/>
      <c r="K18" s="474"/>
      <c r="L18" s="474"/>
      <c r="T18" s="103"/>
      <c r="U18" s="871" t="s">
        <v>706</v>
      </c>
      <c r="V18" s="872"/>
      <c r="W18" s="872"/>
      <c r="X18" s="873"/>
      <c r="Y18" s="859" t="s">
        <v>707</v>
      </c>
      <c r="Z18" s="860"/>
      <c r="AA18" s="860"/>
      <c r="AB18" s="861"/>
      <c r="AC18" s="103"/>
      <c r="AD18" s="103"/>
      <c r="AE18" s="103"/>
      <c r="AF18" s="103"/>
      <c r="AG18" s="103"/>
      <c r="AH18" s="152"/>
      <c r="AI18" s="103"/>
      <c r="AJ18" s="103"/>
      <c r="AK18" s="103"/>
      <c r="AL18" s="103"/>
      <c r="AM18" s="103"/>
      <c r="AN18" s="103"/>
    </row>
    <row r="19" spans="1:40" ht="20.5" x14ac:dyDescent="0.55000000000000004">
      <c r="A19" s="474"/>
      <c r="B19" s="474"/>
      <c r="C19" s="474"/>
      <c r="D19" s="495" t="s">
        <v>1046</v>
      </c>
      <c r="E19" s="496" t="e">
        <f>X19</f>
        <v>#DIV/0!</v>
      </c>
      <c r="F19" s="497" t="s">
        <v>165</v>
      </c>
      <c r="G19" s="498" t="e">
        <f>V20</f>
        <v>#DIV/0!</v>
      </c>
      <c r="H19" s="499" t="s">
        <v>75</v>
      </c>
      <c r="I19" s="474"/>
      <c r="J19" s="474"/>
      <c r="K19" s="474"/>
      <c r="L19" s="474"/>
      <c r="T19" s="145"/>
      <c r="U19" s="138" t="s">
        <v>709</v>
      </c>
      <c r="V19" s="246" t="e">
        <f>(V20^2+V22^2)^0.5</f>
        <v>#DIV/0!</v>
      </c>
      <c r="W19" s="152" t="s">
        <v>645</v>
      </c>
      <c r="X19" s="246" t="e">
        <f>(X20^2+X22^2)^0.5</f>
        <v>#DIV/0!</v>
      </c>
      <c r="Y19" s="138" t="s">
        <v>645</v>
      </c>
      <c r="Z19" s="153" t="e">
        <f>(Z20^2+Z22^2)^0.5</f>
        <v>#DIV/0!</v>
      </c>
      <c r="AA19" s="152" t="s">
        <v>709</v>
      </c>
      <c r="AB19" s="246" t="e">
        <f>Z19*X8*3^0.5/1000</f>
        <v>#DIV/0!</v>
      </c>
      <c r="AC19" s="103"/>
      <c r="AD19" s="103"/>
      <c r="AE19" s="103"/>
      <c r="AF19" s="103"/>
      <c r="AG19" s="103"/>
      <c r="AH19" s="152"/>
      <c r="AI19" s="103"/>
      <c r="AJ19" s="103"/>
      <c r="AK19" s="103"/>
      <c r="AL19" s="103"/>
      <c r="AM19" s="103"/>
      <c r="AN19" s="103"/>
    </row>
    <row r="20" spans="1:40" ht="20.5" x14ac:dyDescent="0.55000000000000004">
      <c r="A20" s="474"/>
      <c r="B20" s="474"/>
      <c r="C20" s="474"/>
      <c r="D20" s="500" t="s">
        <v>1047</v>
      </c>
      <c r="E20" s="501" t="e">
        <f>X20</f>
        <v>#DIV/0!</v>
      </c>
      <c r="F20" s="502" t="s">
        <v>165</v>
      </c>
      <c r="G20" s="503" t="e">
        <f>V24</f>
        <v>#DIV/0!</v>
      </c>
      <c r="H20" s="504" t="s">
        <v>83</v>
      </c>
      <c r="I20" s="474"/>
      <c r="J20" s="474"/>
      <c r="K20" s="474"/>
      <c r="L20" s="474"/>
      <c r="U20" s="240" t="s">
        <v>75</v>
      </c>
      <c r="V20" t="e">
        <f>(V24^2+V21^2)^0.5</f>
        <v>#DIV/0!</v>
      </c>
      <c r="W20" s="239" t="s">
        <v>80</v>
      </c>
      <c r="X20" s="247" t="e">
        <f>V20/$X$8/3^0.5*1000</f>
        <v>#DIV/0!</v>
      </c>
      <c r="Y20" s="240" t="s">
        <v>80</v>
      </c>
      <c r="Z20" s="25" t="e">
        <f>(Z24^2+Z21^2)^0.5</f>
        <v>#DIV/0!</v>
      </c>
      <c r="AA20" s="239" t="s">
        <v>75</v>
      </c>
      <c r="AB20" s="247" t="e">
        <f>Z20*X8*3^0.5/1000</f>
        <v>#DIV/0!</v>
      </c>
      <c r="AC20" s="237" t="s">
        <v>711</v>
      </c>
    </row>
    <row r="21" spans="1:40" ht="20.5" x14ac:dyDescent="0.55000000000000004">
      <c r="A21" s="474"/>
      <c r="B21" s="474"/>
      <c r="C21" s="474"/>
      <c r="D21" s="500" t="s">
        <v>1048</v>
      </c>
      <c r="E21" s="501" t="e">
        <f>X22</f>
        <v>#DIV/0!</v>
      </c>
      <c r="F21" s="502" t="s">
        <v>165</v>
      </c>
      <c r="G21" s="505" t="e">
        <f>1/(1+(E23)^2)^0.5</f>
        <v>#DIV/0!</v>
      </c>
      <c r="H21" s="504" t="s">
        <v>386</v>
      </c>
      <c r="I21" s="474"/>
      <c r="J21" s="474"/>
      <c r="K21" s="474"/>
      <c r="L21" s="474"/>
      <c r="U21" s="240" t="s">
        <v>378</v>
      </c>
      <c r="V21" s="20">
        <f>Z14</f>
        <v>0</v>
      </c>
      <c r="W21" s="239" t="s">
        <v>169</v>
      </c>
      <c r="X21" s="247" t="e">
        <f>V21/$X$8/3^0.5*1000</f>
        <v>#DIV/0!</v>
      </c>
      <c r="Y21" s="240" t="s">
        <v>169</v>
      </c>
      <c r="Z21" s="25" t="e">
        <f>AA15</f>
        <v>#DIV/0!</v>
      </c>
      <c r="AA21" s="239" t="s">
        <v>378</v>
      </c>
      <c r="AB21" s="247" t="e">
        <f>Z21/1000*3^0.5*J8</f>
        <v>#DIV/0!</v>
      </c>
      <c r="AC21" s="5" t="e">
        <f>AC14</f>
        <v>#DIV/0!</v>
      </c>
      <c r="AE21" t="e">
        <f>IF(X8&gt;690,AC21*X8/480,AC21)</f>
        <v>#DIV/0!</v>
      </c>
    </row>
    <row r="22" spans="1:40" ht="20.5" x14ac:dyDescent="0.55000000000000004">
      <c r="A22" s="474"/>
      <c r="B22" s="474"/>
      <c r="C22" s="474"/>
      <c r="D22" s="500" t="s">
        <v>1049</v>
      </c>
      <c r="E22" s="501" t="e">
        <f>X21</f>
        <v>#DIV/0!</v>
      </c>
      <c r="F22" s="502" t="s">
        <v>165</v>
      </c>
      <c r="G22" s="503" t="e">
        <f>E22*'Electrical System 1-line'!J$40*3^0.5/1000</f>
        <v>#DIV/0!</v>
      </c>
      <c r="H22" s="504" t="s">
        <v>378</v>
      </c>
      <c r="I22" s="474"/>
      <c r="J22" s="474"/>
      <c r="K22" s="474"/>
      <c r="L22" s="474"/>
      <c r="U22" s="240" t="s">
        <v>712</v>
      </c>
      <c r="V22" s="20" t="e">
        <f>X22*X8*3^0.5/1000</f>
        <v>#DIV/0!</v>
      </c>
      <c r="W22" s="152" t="s">
        <v>81</v>
      </c>
      <c r="X22" s="247" t="e">
        <f>0.05*X20</f>
        <v>#DIV/0!</v>
      </c>
      <c r="Y22" s="138" t="s">
        <v>81</v>
      </c>
      <c r="Z22" s="25" t="e">
        <f>X22</f>
        <v>#DIV/0!</v>
      </c>
      <c r="AA22" s="20"/>
      <c r="AB22" s="247" t="e">
        <f>V22</f>
        <v>#DIV/0!</v>
      </c>
    </row>
    <row r="23" spans="1:40" ht="18.5" x14ac:dyDescent="0.45">
      <c r="A23" s="474"/>
      <c r="B23" s="474"/>
      <c r="C23" s="474"/>
      <c r="D23" s="500" t="s">
        <v>380</v>
      </c>
      <c r="E23" s="506" t="e">
        <f>IF(E20=0,0,E21/E20)</f>
        <v>#DIV/0!</v>
      </c>
      <c r="F23" s="507"/>
      <c r="G23" s="508" t="e">
        <f>-IF(V20=0,0,G20/V20)</f>
        <v>#DIV/0!</v>
      </c>
      <c r="H23" s="502" t="s">
        <v>1039</v>
      </c>
      <c r="I23" s="474" t="s">
        <v>406</v>
      </c>
      <c r="J23" s="474"/>
      <c r="K23" s="474"/>
      <c r="L23" s="474"/>
      <c r="S23" t="e">
        <f>TAN(ACOS(Y10))*V24</f>
        <v>#DIV/0!</v>
      </c>
      <c r="U23" s="242"/>
      <c r="V23" s="20"/>
      <c r="W23" s="20"/>
      <c r="X23" s="241"/>
      <c r="Y23" s="242"/>
      <c r="Z23" s="25"/>
      <c r="AA23" s="20"/>
      <c r="AB23" s="247"/>
      <c r="AD23" s="237" t="s">
        <v>713</v>
      </c>
      <c r="AE23" s="32">
        <f>G30</f>
        <v>0</v>
      </c>
    </row>
    <row r="24" spans="1:40" ht="19" thickBot="1" x14ac:dyDescent="0.5">
      <c r="A24" s="474"/>
      <c r="B24" s="474"/>
      <c r="C24" s="474"/>
      <c r="D24" s="509"/>
      <c r="E24" s="510"/>
      <c r="F24" s="511"/>
      <c r="G24" s="512" t="e">
        <f>G21*G23</f>
        <v>#DIV/0!</v>
      </c>
      <c r="H24" s="513" t="s">
        <v>379</v>
      </c>
      <c r="I24" s="474"/>
      <c r="J24" s="474"/>
      <c r="K24" s="474"/>
      <c r="L24" s="474"/>
      <c r="U24" s="243" t="s">
        <v>83</v>
      </c>
      <c r="V24" s="248" t="e">
        <f>X24*X8*3^0.5/1000</f>
        <v>#DIV/0!</v>
      </c>
      <c r="W24" s="245" t="s">
        <v>182</v>
      </c>
      <c r="X24" s="249" t="e">
        <f>V15</f>
        <v>#DIV/0!</v>
      </c>
      <c r="Y24" s="243" t="s">
        <v>182</v>
      </c>
      <c r="Z24" s="244" t="e">
        <f>X24</f>
        <v>#DIV/0!</v>
      </c>
      <c r="AA24" s="245" t="s">
        <v>83</v>
      </c>
      <c r="AB24" s="249" t="e">
        <f>V24</f>
        <v>#DIV/0!</v>
      </c>
    </row>
    <row r="25" spans="1:40" ht="19" thickBot="1" x14ac:dyDescent="0.5">
      <c r="A25" s="474"/>
      <c r="B25" s="474"/>
      <c r="C25" s="474"/>
      <c r="D25" s="474"/>
      <c r="E25" s="492"/>
      <c r="F25" s="492"/>
      <c r="G25" s="492"/>
      <c r="H25" s="474"/>
      <c r="I25" s="474"/>
      <c r="J25" s="474"/>
      <c r="K25" s="474"/>
      <c r="L25" s="474"/>
      <c r="Y25" s="237" t="s">
        <v>708</v>
      </c>
      <c r="Z25" t="e">
        <f>Z22/Z20</f>
        <v>#DIV/0!</v>
      </c>
      <c r="AD25" s="250" t="s">
        <v>714</v>
      </c>
      <c r="AE25" s="5" t="e">
        <f>AE21-AE23</f>
        <v>#DIV/0!</v>
      </c>
      <c r="AF25" s="237" t="s">
        <v>378</v>
      </c>
      <c r="AG25" t="e">
        <f>AE25*$X$8*3^0.5/1000</f>
        <v>#DIV/0!</v>
      </c>
    </row>
    <row r="26" spans="1:40" ht="19" thickBot="1" x14ac:dyDescent="0.5">
      <c r="A26" s="474"/>
      <c r="B26" s="474"/>
      <c r="C26" s="474"/>
      <c r="D26" s="853" t="s">
        <v>511</v>
      </c>
      <c r="E26" s="854"/>
      <c r="F26" s="855"/>
      <c r="G26" s="514" t="e">
        <f>AC21</f>
        <v>#DIV/0!</v>
      </c>
      <c r="H26" s="515" t="s">
        <v>165</v>
      </c>
      <c r="I26" s="474"/>
      <c r="J26" s="474"/>
      <c r="K26" s="474"/>
      <c r="L26" s="474"/>
      <c r="S26" t="e">
        <f>V10/Y10</f>
        <v>#DIV/0!</v>
      </c>
      <c r="AD26" s="237" t="s">
        <v>715</v>
      </c>
      <c r="AE26" t="e">
        <f>(Z24^2+AE25^2)^0.5</f>
        <v>#DIV/0!</v>
      </c>
      <c r="AF26" s="237" t="s">
        <v>75</v>
      </c>
      <c r="AG26" t="e">
        <f>AE26*$X$8*3^0.5/1000</f>
        <v>#DIV/0!</v>
      </c>
    </row>
    <row r="27" spans="1:40" ht="19" thickBot="1" x14ac:dyDescent="0.5">
      <c r="A27" s="474"/>
      <c r="B27" s="474"/>
      <c r="C27" s="474"/>
      <c r="D27" s="646"/>
      <c r="E27" s="646"/>
      <c r="F27" s="646"/>
      <c r="G27" s="516"/>
      <c r="H27" s="516"/>
      <c r="I27" s="474"/>
      <c r="J27" s="474"/>
      <c r="K27" s="474"/>
      <c r="L27" s="474"/>
      <c r="AD27" s="250" t="s">
        <v>716</v>
      </c>
      <c r="AE27" t="e">
        <f>(AE26^2+Z22^2)^0.5</f>
        <v>#DIV/0!</v>
      </c>
      <c r="AF27" s="237" t="s">
        <v>709</v>
      </c>
      <c r="AG27" t="e">
        <f>AE27*$X$8*3^0.5/1000</f>
        <v>#DIV/0!</v>
      </c>
    </row>
    <row r="28" spans="1:40" ht="19" thickBot="1" x14ac:dyDescent="0.5">
      <c r="A28" s="474"/>
      <c r="B28" s="474"/>
      <c r="C28" s="474"/>
      <c r="D28" s="856" t="s">
        <v>360</v>
      </c>
      <c r="E28" s="857"/>
      <c r="F28" s="858"/>
      <c r="G28" s="517" t="e">
        <f>AE21</f>
        <v>#DIV/0!</v>
      </c>
      <c r="H28" s="515" t="s">
        <v>165</v>
      </c>
      <c r="I28" s="474"/>
      <c r="J28" s="474"/>
      <c r="K28" s="474"/>
      <c r="L28" s="474"/>
    </row>
    <row r="29" spans="1:40" ht="19" thickBot="1" x14ac:dyDescent="0.5">
      <c r="A29" s="474"/>
      <c r="B29" s="474"/>
      <c r="C29" s="474"/>
      <c r="D29" s="647"/>
      <c r="E29" s="647"/>
      <c r="F29" s="647"/>
      <c r="G29" s="518"/>
      <c r="H29" s="519"/>
      <c r="I29" s="474"/>
      <c r="J29" s="474"/>
      <c r="K29" s="474"/>
      <c r="L29" s="474"/>
      <c r="AD29" s="250" t="s">
        <v>717</v>
      </c>
      <c r="AE29" t="e">
        <f>IF(AG26=0,0,AB24/AG26)</f>
        <v>#DIV/0!</v>
      </c>
    </row>
    <row r="30" spans="1:40" ht="19" thickBot="1" x14ac:dyDescent="0.5">
      <c r="A30" s="474"/>
      <c r="B30" s="474"/>
      <c r="C30" s="474"/>
      <c r="D30" s="839" t="s">
        <v>359</v>
      </c>
      <c r="E30" s="840"/>
      <c r="F30" s="841"/>
      <c r="G30" s="520"/>
      <c r="H30" s="474" t="s">
        <v>165</v>
      </c>
      <c r="I30" s="474"/>
      <c r="J30" s="474"/>
      <c r="K30" s="474"/>
      <c r="L30" s="474"/>
    </row>
    <row r="31" spans="1:40" ht="19" thickBot="1" x14ac:dyDescent="0.5">
      <c r="A31" s="474"/>
      <c r="B31" s="474"/>
      <c r="C31" s="474"/>
      <c r="D31" s="521"/>
      <c r="E31" s="521"/>
      <c r="F31" s="521"/>
      <c r="G31" s="521"/>
      <c r="H31" s="521"/>
      <c r="I31" s="522"/>
      <c r="J31" s="474"/>
      <c r="K31" s="474"/>
      <c r="L31" s="474"/>
    </row>
    <row r="32" spans="1:40" ht="19.5" customHeight="1" thickBot="1" x14ac:dyDescent="0.5">
      <c r="A32" s="474"/>
      <c r="B32" s="474"/>
      <c r="C32" s="474"/>
      <c r="D32" s="836" t="s">
        <v>238</v>
      </c>
      <c r="E32" s="837"/>
      <c r="F32" s="837"/>
      <c r="G32" s="837"/>
      <c r="H32" s="838"/>
      <c r="I32" s="474"/>
      <c r="J32" s="474"/>
      <c r="K32" s="474"/>
      <c r="L32" s="474"/>
    </row>
    <row r="33" spans="1:12" ht="57" customHeight="1" thickBot="1" x14ac:dyDescent="0.5">
      <c r="A33" s="474"/>
      <c r="B33" s="474"/>
      <c r="C33" s="474"/>
      <c r="D33" s="523" t="s">
        <v>158</v>
      </c>
      <c r="E33" s="836" t="s">
        <v>384</v>
      </c>
      <c r="F33" s="838"/>
      <c r="G33" s="874" t="s">
        <v>382</v>
      </c>
      <c r="H33" s="875"/>
      <c r="I33" s="474"/>
      <c r="J33" s="474"/>
      <c r="K33" s="474"/>
      <c r="L33" s="474"/>
    </row>
    <row r="34" spans="1:12" ht="20.5" x14ac:dyDescent="0.55000000000000004">
      <c r="A34" s="474"/>
      <c r="B34" s="474"/>
      <c r="C34" s="474"/>
      <c r="D34" s="524" t="s">
        <v>1046</v>
      </c>
      <c r="E34" s="525" t="e">
        <f>AE27</f>
        <v>#DIV/0!</v>
      </c>
      <c r="F34" s="526" t="s">
        <v>165</v>
      </c>
      <c r="G34" s="527" t="e">
        <f>E34*'Electrical System 1-line'!J$40*3^0.5/1000</f>
        <v>#DIV/0!</v>
      </c>
      <c r="H34" s="528" t="s">
        <v>75</v>
      </c>
      <c r="I34" s="474"/>
      <c r="J34" s="474"/>
      <c r="K34" s="474"/>
      <c r="L34" s="474"/>
    </row>
    <row r="35" spans="1:12" ht="20.5" x14ac:dyDescent="0.55000000000000004">
      <c r="A35" s="474"/>
      <c r="B35" s="474"/>
      <c r="C35" s="474"/>
      <c r="D35" s="529" t="s">
        <v>1047</v>
      </c>
      <c r="E35" s="530" t="e">
        <f>AE26</f>
        <v>#DIV/0!</v>
      </c>
      <c r="F35" s="531" t="s">
        <v>165</v>
      </c>
      <c r="G35" s="532" t="e">
        <f>G20</f>
        <v>#DIV/0!</v>
      </c>
      <c r="H35" s="533" t="s">
        <v>83</v>
      </c>
      <c r="I35" s="474"/>
      <c r="J35" s="474"/>
      <c r="K35" s="474"/>
      <c r="L35" s="474"/>
    </row>
    <row r="36" spans="1:12" ht="20.5" x14ac:dyDescent="0.55000000000000004">
      <c r="A36" s="474"/>
      <c r="B36" s="474"/>
      <c r="C36" s="474"/>
      <c r="D36" s="534" t="s">
        <v>1048</v>
      </c>
      <c r="E36" s="530" t="e">
        <f>Z22</f>
        <v>#DIV/0!</v>
      </c>
      <c r="F36" s="531" t="s">
        <v>165</v>
      </c>
      <c r="G36" s="535" t="e">
        <f>1/(1+(E38)^2)^0.5</f>
        <v>#DIV/0!</v>
      </c>
      <c r="H36" s="533" t="s">
        <v>386</v>
      </c>
      <c r="I36" s="474"/>
      <c r="J36" s="474"/>
      <c r="K36" s="474"/>
      <c r="L36" s="474"/>
    </row>
    <row r="37" spans="1:12" ht="20.5" x14ac:dyDescent="0.55000000000000004">
      <c r="A37" s="474"/>
      <c r="B37" s="474"/>
      <c r="C37" s="474"/>
      <c r="D37" s="534" t="s">
        <v>1049</v>
      </c>
      <c r="E37" s="530" t="e">
        <f>AE25</f>
        <v>#DIV/0!</v>
      </c>
      <c r="F37" s="531" t="s">
        <v>165</v>
      </c>
      <c r="G37" s="532" t="e">
        <f>E37*'Electrical System 1-line'!J$40*3^0.5/1000</f>
        <v>#DIV/0!</v>
      </c>
      <c r="H37" s="533" t="s">
        <v>378</v>
      </c>
      <c r="I37" s="474"/>
      <c r="J37" s="474"/>
      <c r="K37" s="474"/>
      <c r="L37" s="474"/>
    </row>
    <row r="38" spans="1:12" ht="18.5" x14ac:dyDescent="0.45">
      <c r="A38" s="474"/>
      <c r="B38" s="474"/>
      <c r="C38" s="474"/>
      <c r="D38" s="534" t="s">
        <v>271</v>
      </c>
      <c r="E38" s="536" t="e">
        <f>IF(E35=0,0,IF(G30=0,E23,ROUND(E36/E35,4)))</f>
        <v>#DIV/0!</v>
      </c>
      <c r="F38" s="537"/>
      <c r="G38" s="538" t="e">
        <f>-AE29</f>
        <v>#DIV/0!</v>
      </c>
      <c r="H38" s="533" t="s">
        <v>1039</v>
      </c>
      <c r="I38" s="474" t="s">
        <v>406</v>
      </c>
      <c r="J38" s="474"/>
      <c r="K38" s="474"/>
      <c r="L38" s="474"/>
    </row>
    <row r="39" spans="1:12" ht="19" thickBot="1" x14ac:dyDescent="0.5">
      <c r="A39" s="474"/>
      <c r="B39" s="474"/>
      <c r="C39" s="474"/>
      <c r="D39" s="539"/>
      <c r="E39" s="540"/>
      <c r="F39" s="541"/>
      <c r="G39" s="542" t="e">
        <f>G36*G38</f>
        <v>#DIV/0!</v>
      </c>
      <c r="H39" s="543" t="s">
        <v>379</v>
      </c>
      <c r="I39" s="474"/>
      <c r="J39" s="474"/>
      <c r="K39" s="474"/>
      <c r="L39" s="474"/>
    </row>
    <row r="40" spans="1:12" ht="18.5" x14ac:dyDescent="0.45">
      <c r="A40" s="474"/>
      <c r="B40" s="474"/>
      <c r="C40" s="474"/>
      <c r="D40" s="474"/>
      <c r="E40" s="474"/>
      <c r="F40" s="474"/>
      <c r="G40" s="474"/>
      <c r="H40" s="474"/>
      <c r="I40" s="474"/>
      <c r="J40" s="474"/>
      <c r="K40" s="474"/>
      <c r="L40" s="474"/>
    </row>
    <row r="41" spans="1:12" ht="18.5" x14ac:dyDescent="0.45">
      <c r="A41" s="474"/>
      <c r="B41" s="474"/>
      <c r="C41" s="474"/>
      <c r="D41" s="474"/>
      <c r="E41" s="474"/>
      <c r="F41" s="474"/>
      <c r="G41" s="474"/>
      <c r="H41" s="474"/>
      <c r="I41" s="474"/>
      <c r="J41" s="474"/>
      <c r="K41" s="474"/>
      <c r="L41" s="474"/>
    </row>
    <row r="42" spans="1:12" ht="18.5" x14ac:dyDescent="0.45">
      <c r="A42" s="474"/>
      <c r="B42" s="863" t="e">
        <f>IF(ABS(G38)&lt;ABS(G10),"The applied solution does not meet the user selected objective!!!","The applied solution meets or exceeds the user selected objective!!!")</f>
        <v>#DIV/0!</v>
      </c>
      <c r="C42" s="863"/>
      <c r="D42" s="863"/>
      <c r="E42" s="863"/>
      <c r="F42" s="863"/>
      <c r="G42" s="863"/>
      <c r="H42" s="863"/>
      <c r="I42" s="863"/>
      <c r="J42" s="474"/>
      <c r="K42" s="474"/>
      <c r="L42" s="474"/>
    </row>
    <row r="43" spans="1:12" x14ac:dyDescent="0.25">
      <c r="C43" s="862"/>
      <c r="D43" s="862"/>
      <c r="E43" s="862"/>
      <c r="F43" s="862"/>
      <c r="G43" s="862"/>
      <c r="H43" s="251"/>
      <c r="I43" s="252"/>
    </row>
  </sheetData>
  <sheetProtection algorithmName="SHA-512" hashValue="9cHgUQ6vFS4YiodqXcjbneBo/CGE4TuVjQ1b4ObgDa1t5AFFdOZQoAGbGJb3SENELfTbPAzc7hWUAlSjNaLUhQ==" saltValue="P7hfcvn/xcvqspk8uPAAyw==" spinCount="100000" sheet="1" objects="1" scenarios="1"/>
  <mergeCells count="25">
    <mergeCell ref="Y18:AB18"/>
    <mergeCell ref="C43:G43"/>
    <mergeCell ref="B42:I42"/>
    <mergeCell ref="A1:J1"/>
    <mergeCell ref="I4:J4"/>
    <mergeCell ref="B6:J6"/>
    <mergeCell ref="H8:I8"/>
    <mergeCell ref="U18:X18"/>
    <mergeCell ref="E33:F33"/>
    <mergeCell ref="G33:H33"/>
    <mergeCell ref="D32:H32"/>
    <mergeCell ref="A3:C3"/>
    <mergeCell ref="D3:F3"/>
    <mergeCell ref="A4:C4"/>
    <mergeCell ref="D4:F4"/>
    <mergeCell ref="G4:H4"/>
    <mergeCell ref="D30:F30"/>
    <mergeCell ref="B8:G8"/>
    <mergeCell ref="H10:K10"/>
    <mergeCell ref="B14:K14"/>
    <mergeCell ref="D17:H17"/>
    <mergeCell ref="E18:F18"/>
    <mergeCell ref="G18:H18"/>
    <mergeCell ref="D26:F26"/>
    <mergeCell ref="D28:F28"/>
  </mergeCells>
  <pageMargins left="0.7" right="0.7" top="0.75" bottom="0.75" header="0.3" footer="0.3"/>
  <pageSetup orientation="portrait" r:id="rId1"/>
  <headerFooter>
    <oddFooter>&amp;C&amp;1#&amp;"Arial"&amp;6&amp;K626469Internal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autoPageBreaks="0" fitToPage="1"/>
  </sheetPr>
  <dimension ref="B1:AV48"/>
  <sheetViews>
    <sheetView showGridLines="0" showRowColHeaders="0" topLeftCell="A21" zoomScaleNormal="100" workbookViewId="0">
      <selection activeCell="D6" sqref="D6"/>
    </sheetView>
  </sheetViews>
  <sheetFormatPr defaultColWidth="9.08984375" defaultRowHeight="20.25" customHeight="1" x14ac:dyDescent="0.25"/>
  <cols>
    <col min="1" max="1" width="1.36328125" style="103" customWidth="1"/>
    <col min="2" max="2" width="25.453125" style="103" customWidth="1"/>
    <col min="3" max="3" width="11.453125" style="103" customWidth="1"/>
    <col min="4" max="4" width="10.453125" style="103" customWidth="1"/>
    <col min="5" max="5" width="20.6328125" style="103" customWidth="1"/>
    <col min="6" max="6" width="13" style="103" customWidth="1"/>
    <col min="7" max="7" width="13.90625" style="103" customWidth="1"/>
    <col min="8" max="8" width="20.36328125" style="103" customWidth="1"/>
    <col min="9" max="9" width="26.453125" style="103" customWidth="1"/>
    <col min="10" max="11" width="13.6328125" style="102" customWidth="1"/>
    <col min="12" max="14" width="13.6328125" style="102" hidden="1" customWidth="1"/>
    <col min="15" max="15" width="15.54296875" style="102" hidden="1" customWidth="1"/>
    <col min="16" max="16" width="14.36328125" style="102" hidden="1" customWidth="1"/>
    <col min="17" max="19" width="9.08984375" style="102" hidden="1" customWidth="1"/>
    <col min="20" max="20" width="14.90625" style="102" hidden="1" customWidth="1"/>
    <col min="21" max="21" width="18.453125" style="102" hidden="1" customWidth="1"/>
    <col min="22" max="22" width="14.36328125" style="102" hidden="1" customWidth="1"/>
    <col min="23" max="23" width="13.6328125" style="102" hidden="1" customWidth="1"/>
    <col min="24" max="24" width="14.54296875" style="102" hidden="1" customWidth="1"/>
    <col min="25" max="25" width="14.36328125" style="102" hidden="1" customWidth="1"/>
    <col min="26" max="29" width="14.54296875" style="102" hidden="1" customWidth="1"/>
    <col min="30" max="31" width="9.08984375" style="102" hidden="1" customWidth="1"/>
    <col min="32" max="32" width="9.36328125" style="102" hidden="1" customWidth="1"/>
    <col min="33" max="33" width="17" style="102" hidden="1" customWidth="1"/>
    <col min="34" max="34" width="50.6328125" style="102" hidden="1" customWidth="1"/>
    <col min="35" max="42" width="9.08984375" style="102" hidden="1" customWidth="1"/>
    <col min="43" max="48" width="9.08984375" style="103" hidden="1" customWidth="1"/>
    <col min="49" max="60" width="9.08984375" style="103" customWidth="1"/>
    <col min="61" max="16384" width="9.08984375" style="103"/>
  </cols>
  <sheetData>
    <row r="1" spans="2:20" ht="33.75" customHeight="1" x14ac:dyDescent="0.25">
      <c r="B1" s="880" t="s">
        <v>1050</v>
      </c>
      <c r="C1" s="881"/>
      <c r="D1" s="881"/>
      <c r="E1" s="881"/>
      <c r="F1" s="881"/>
      <c r="G1" s="881"/>
      <c r="H1" s="881"/>
      <c r="I1" s="881"/>
    </row>
    <row r="2" spans="2:20" ht="20.25" customHeight="1" thickBot="1" x14ac:dyDescent="0.35">
      <c r="B2" s="544"/>
      <c r="C2" s="376"/>
      <c r="D2" s="376"/>
      <c r="E2" s="376"/>
      <c r="F2" s="376"/>
      <c r="G2" s="376"/>
      <c r="H2" s="376"/>
      <c r="I2" s="376"/>
    </row>
    <row r="3" spans="2:20" s="104" customFormat="1" ht="20.25" customHeight="1" thickBot="1" x14ac:dyDescent="0.5">
      <c r="B3" s="545" t="s">
        <v>194</v>
      </c>
      <c r="C3" s="885" t="str">
        <f>IF('Electrical System 1-line'!F3="","",'Electrical System 1-line'!F3)</f>
        <v/>
      </c>
      <c r="D3" s="886"/>
      <c r="E3" s="886"/>
      <c r="F3" s="887"/>
      <c r="G3" s="546"/>
      <c r="H3" s="304" t="s">
        <v>193</v>
      </c>
      <c r="I3" s="547" t="str">
        <f>IF('Electrical System 1-line'!N2="","",'Electrical System 1-line'!N2)</f>
        <v/>
      </c>
    </row>
    <row r="4" spans="2:20" ht="20.25" customHeight="1" x14ac:dyDescent="0.35">
      <c r="B4" s="376"/>
      <c r="C4" s="307"/>
      <c r="D4" s="307"/>
      <c r="E4" s="307"/>
      <c r="F4" s="888" t="str">
        <f>IF(D6&gt;690,"In addition to the AccuSine+ models defined below, a transformer system is required.  Consult your Schneider Electric representative for more information.","")</f>
        <v/>
      </c>
      <c r="G4" s="888"/>
      <c r="H4" s="888"/>
      <c r="I4" s="888"/>
    </row>
    <row r="5" spans="2:20" ht="20.25" customHeight="1" x14ac:dyDescent="0.35">
      <c r="B5" s="376"/>
      <c r="C5" s="319"/>
      <c r="D5" s="319"/>
      <c r="E5" s="319"/>
      <c r="F5" s="888"/>
      <c r="G5" s="888"/>
      <c r="H5" s="888"/>
      <c r="I5" s="888"/>
    </row>
    <row r="6" spans="2:20" ht="20.25" customHeight="1" thickBot="1" x14ac:dyDescent="0.4">
      <c r="B6" s="889" t="s">
        <v>348</v>
      </c>
      <c r="C6" s="889"/>
      <c r="D6" s="548">
        <f>'Electrical System 1-line'!J40</f>
        <v>480</v>
      </c>
      <c r="E6" s="549" t="s">
        <v>252</v>
      </c>
      <c r="F6" s="888"/>
      <c r="G6" s="888"/>
      <c r="H6" s="888"/>
      <c r="I6" s="888"/>
    </row>
    <row r="7" spans="2:20" ht="20.25" customHeight="1" thickBot="1" x14ac:dyDescent="0.4">
      <c r="B7" s="376"/>
      <c r="C7" s="376"/>
      <c r="D7" s="376"/>
      <c r="E7" s="319"/>
      <c r="F7" s="550"/>
      <c r="G7" s="550"/>
      <c r="H7" s="898" t="s">
        <v>268</v>
      </c>
      <c r="I7" s="899"/>
      <c r="R7" s="106" t="s">
        <v>307</v>
      </c>
      <c r="T7" s="102" t="s">
        <v>312</v>
      </c>
    </row>
    <row r="8" spans="2:20" ht="20.25" customHeight="1" x14ac:dyDescent="0.3">
      <c r="B8" s="894" t="s">
        <v>412</v>
      </c>
      <c r="C8" s="895"/>
      <c r="D8" s="890">
        <f>IF(D10="yes",Server!G30,'AccuSine Sizing Tool'!G67)</f>
        <v>0</v>
      </c>
      <c r="E8" s="376"/>
      <c r="F8" s="551"/>
      <c r="G8" s="551"/>
      <c r="H8" s="900" t="str">
        <f>IF(D10="yes","",IF('AccuSine Sizing Tool'!D17="x","Harmonic Mitigation",""))</f>
        <v/>
      </c>
      <c r="I8" s="901"/>
      <c r="R8" s="106" t="s">
        <v>304</v>
      </c>
    </row>
    <row r="9" spans="2:20" ht="20.25" customHeight="1" thickBot="1" x14ac:dyDescent="0.35">
      <c r="B9" s="896"/>
      <c r="C9" s="897"/>
      <c r="D9" s="891"/>
      <c r="E9" s="376"/>
      <c r="F9" s="551"/>
      <c r="G9" s="551"/>
      <c r="H9" s="902" t="str">
        <f>IF(D10="yes","Power Factor Correction",IF('AccuSine Sizing Tool'!D18="x","Power Factor Correction",""))</f>
        <v/>
      </c>
      <c r="I9" s="903"/>
    </row>
    <row r="10" spans="2:20" ht="20.25" customHeight="1" thickBot="1" x14ac:dyDescent="0.4">
      <c r="B10" s="892" t="s">
        <v>989</v>
      </c>
      <c r="C10" s="893"/>
      <c r="D10" s="552" t="s">
        <v>304</v>
      </c>
      <c r="E10" s="553"/>
      <c r="F10" s="553"/>
      <c r="G10" s="553"/>
      <c r="H10" s="554"/>
      <c r="I10" s="554"/>
    </row>
    <row r="11" spans="2:20" ht="20.25" customHeight="1" thickBot="1" x14ac:dyDescent="0.4">
      <c r="B11" s="555"/>
      <c r="C11" s="555"/>
      <c r="D11" s="556"/>
      <c r="E11" s="553"/>
      <c r="F11" s="553"/>
      <c r="G11" s="553"/>
      <c r="H11" s="376"/>
      <c r="I11" s="376"/>
    </row>
    <row r="12" spans="2:20" ht="39.75" customHeight="1" thickBot="1" x14ac:dyDescent="0.3">
      <c r="B12" s="882" t="s">
        <v>407</v>
      </c>
      <c r="C12" s="884"/>
      <c r="D12" s="557">
        <v>1000</v>
      </c>
      <c r="E12" s="906" t="s">
        <v>696</v>
      </c>
      <c r="F12" s="906"/>
      <c r="G12" s="906"/>
      <c r="H12" s="906"/>
      <c r="I12" s="906"/>
    </row>
    <row r="13" spans="2:20" ht="62.25" customHeight="1" thickBot="1" x14ac:dyDescent="0.3">
      <c r="B13" s="882" t="s">
        <v>607</v>
      </c>
      <c r="C13" s="883"/>
      <c r="D13" s="558">
        <v>40</v>
      </c>
      <c r="E13" s="559" t="s">
        <v>698</v>
      </c>
      <c r="F13" s="906" t="s">
        <v>1017</v>
      </c>
      <c r="G13" s="906"/>
      <c r="H13" s="906"/>
      <c r="I13" s="906"/>
    </row>
    <row r="14" spans="2:20" ht="18.75" customHeight="1" x14ac:dyDescent="0.25">
      <c r="B14" s="560"/>
      <c r="C14" s="560"/>
      <c r="D14" s="561"/>
      <c r="E14" s="560"/>
      <c r="F14" s="562"/>
      <c r="G14" s="562"/>
      <c r="H14" s="562"/>
      <c r="I14" s="562"/>
    </row>
    <row r="15" spans="2:20" ht="20.25" customHeight="1" thickBot="1" x14ac:dyDescent="0.35">
      <c r="B15" s="376"/>
      <c r="C15" s="376"/>
      <c r="D15" s="376"/>
      <c r="E15" s="376"/>
      <c r="F15" s="376"/>
      <c r="G15" s="376"/>
      <c r="H15" s="380"/>
      <c r="I15" s="380"/>
    </row>
    <row r="16" spans="2:20" ht="20.25" customHeight="1" thickBot="1" x14ac:dyDescent="0.4">
      <c r="B16" s="908" t="s">
        <v>1002</v>
      </c>
      <c r="C16" s="909"/>
      <c r="D16" s="558"/>
      <c r="E16" s="563" t="s">
        <v>414</v>
      </c>
      <c r="F16" s="904" t="str">
        <f>IF(D6&lt;=480,"",IF('Model Selector'!D16="x","IP00 models are not available in the voltage listed above.",IF(D17="x","IP20 models are not available in the voltage listed above.","")))</f>
        <v/>
      </c>
      <c r="G16" s="904"/>
      <c r="H16" s="904"/>
      <c r="I16" s="904"/>
    </row>
    <row r="17" spans="2:21" ht="22.5" customHeight="1" thickBot="1" x14ac:dyDescent="0.35">
      <c r="B17" s="910"/>
      <c r="C17" s="911"/>
      <c r="D17" s="558"/>
      <c r="E17" s="905" t="s">
        <v>650</v>
      </c>
      <c r="F17" s="906"/>
      <c r="G17" s="819" t="str">
        <f>IF(D16=0,IF(D17=0,IF(D18=0,IF(D19=0,IF(D20=0,IF(D21=0,"An enclosure type must be selected!",""),""),""),""),""),"")</f>
        <v>An enclosure type must be selected!</v>
      </c>
      <c r="H17" s="378"/>
      <c r="I17" s="376"/>
    </row>
    <row r="18" spans="2:21" ht="20.25" customHeight="1" thickBot="1" x14ac:dyDescent="0.35">
      <c r="B18" s="910"/>
      <c r="C18" s="911"/>
      <c r="D18" s="558"/>
      <c r="E18" s="905" t="s">
        <v>413</v>
      </c>
      <c r="F18" s="906"/>
      <c r="G18" s="819"/>
      <c r="H18" s="376"/>
      <c r="I18" s="376"/>
    </row>
    <row r="19" spans="2:21" ht="20.25" customHeight="1" thickBot="1" x14ac:dyDescent="0.35">
      <c r="B19" s="910"/>
      <c r="C19" s="911"/>
      <c r="D19" s="558"/>
      <c r="E19" s="905" t="s">
        <v>253</v>
      </c>
      <c r="F19" s="906"/>
      <c r="G19" s="819"/>
      <c r="H19" s="376"/>
      <c r="I19" s="376"/>
    </row>
    <row r="20" spans="2:21" ht="20.25" customHeight="1" thickBot="1" x14ac:dyDescent="0.35">
      <c r="B20" s="910"/>
      <c r="C20" s="911"/>
      <c r="D20" s="558"/>
      <c r="E20" s="905" t="s">
        <v>697</v>
      </c>
      <c r="F20" s="906"/>
      <c r="G20" s="819"/>
      <c r="H20" s="376"/>
      <c r="I20" s="376"/>
    </row>
    <row r="21" spans="2:21" ht="20.25" customHeight="1" thickBot="1" x14ac:dyDescent="0.4">
      <c r="B21" s="912"/>
      <c r="C21" s="913"/>
      <c r="D21" s="558"/>
      <c r="E21" s="905" t="s">
        <v>385</v>
      </c>
      <c r="F21" s="906"/>
      <c r="G21" s="319"/>
      <c r="H21" s="376"/>
      <c r="I21" s="376"/>
    </row>
    <row r="22" spans="2:21" ht="20.25" customHeight="1" x14ac:dyDescent="0.35">
      <c r="B22" s="907" t="str">
        <f>IF('Mod Sel Calcs'!F21&gt;1,"Select only one type of enclosure!","")</f>
        <v/>
      </c>
      <c r="C22" s="564"/>
      <c r="D22" s="376"/>
      <c r="E22" s="376"/>
      <c r="F22" s="319"/>
      <c r="G22" s="319"/>
      <c r="H22" s="319"/>
      <c r="I22" s="376"/>
    </row>
    <row r="23" spans="2:21" ht="20.25" customHeight="1" thickBot="1" x14ac:dyDescent="0.4">
      <c r="B23" s="907"/>
      <c r="C23" s="319"/>
      <c r="D23" s="319"/>
      <c r="E23" s="319"/>
      <c r="F23" s="319"/>
      <c r="G23" s="319"/>
      <c r="H23" s="319"/>
      <c r="I23" s="376"/>
    </row>
    <row r="24" spans="2:21" ht="20.25" customHeight="1" x14ac:dyDescent="0.3">
      <c r="B24" s="376"/>
      <c r="C24" s="915" t="s">
        <v>1029</v>
      </c>
      <c r="D24" s="916"/>
      <c r="E24" s="916"/>
      <c r="F24" s="916"/>
      <c r="G24" s="916"/>
      <c r="H24" s="916"/>
      <c r="I24" s="917"/>
    </row>
    <row r="25" spans="2:21" ht="38.25" customHeight="1" x14ac:dyDescent="0.3">
      <c r="B25" s="376"/>
      <c r="C25" s="918" t="s">
        <v>512</v>
      </c>
      <c r="D25" s="919"/>
      <c r="E25" s="919"/>
      <c r="F25" s="919"/>
      <c r="G25" s="919"/>
      <c r="H25" s="919"/>
      <c r="I25" s="920"/>
      <c r="N25" s="102" t="s">
        <v>291</v>
      </c>
      <c r="O25" s="102" t="s">
        <v>292</v>
      </c>
      <c r="P25" s="108" t="s">
        <v>616</v>
      </c>
      <c r="Q25" s="109" t="s">
        <v>293</v>
      </c>
      <c r="R25" s="109" t="s">
        <v>294</v>
      </c>
      <c r="S25" s="109"/>
    </row>
    <row r="26" spans="2:21" ht="20.25" customHeight="1" x14ac:dyDescent="0.3">
      <c r="B26" s="376"/>
      <c r="C26" s="565" t="s">
        <v>73</v>
      </c>
      <c r="D26" s="648" t="s">
        <v>106</v>
      </c>
      <c r="E26" s="648" t="s">
        <v>254</v>
      </c>
      <c r="F26" s="929" t="s">
        <v>255</v>
      </c>
      <c r="G26" s="929"/>
      <c r="H26" s="929"/>
      <c r="I26" s="930"/>
      <c r="M26" s="102">
        <f>'Mod Sel Calcs'!E56</f>
        <v>0</v>
      </c>
      <c r="N26" s="102" t="s">
        <v>225</v>
      </c>
      <c r="O26" s="102">
        <f>'Mod Sel Calcs'!K56</f>
        <v>0</v>
      </c>
      <c r="P26" s="102">
        <f>'Mod Sel Calcs'!L56</f>
        <v>0</v>
      </c>
      <c r="Q26" s="108">
        <f>'Mod Sel Calcs'!O56</f>
        <v>0</v>
      </c>
      <c r="R26" s="108">
        <f>'Mod Sel Calcs'!P56</f>
        <v>0</v>
      </c>
      <c r="S26" s="109"/>
    </row>
    <row r="27" spans="2:21" ht="20.25" customHeight="1" x14ac:dyDescent="0.3">
      <c r="B27" s="376"/>
      <c r="C27" s="566" t="str">
        <f>IF(D27="","",IF(D27&gt;0,1,""))</f>
        <v/>
      </c>
      <c r="D27" s="567" t="str">
        <f>IF(D8=0,"",IF('Mod Sel Calcs'!$S$56="","",IF($N$34=0,"",INDEX($N$25:$R$32,MATCH(N34,$N$25:$N$32,1),MATCH("QTY 1",$N$25:$R$25,0)))))</f>
        <v/>
      </c>
      <c r="E27" s="649" t="str">
        <f>IF(D27="","",IF('Mod Sel Calcs'!$S$56="","",IF($N$34=0,0,INDEX($N$25:$R$32,MATCH($N$34,$N$25:$N$32,1),MATCH("Model 1",N25:R25,0)))))</f>
        <v/>
      </c>
      <c r="F27" s="921" t="str">
        <f>IF(D27="","",VLOOKUP(E27,'Mod Sel Calcs'!$X$6:$Y$193,2))</f>
        <v/>
      </c>
      <c r="G27" s="922"/>
      <c r="H27" s="922"/>
      <c r="I27" s="923"/>
      <c r="M27" s="102">
        <f>'Mod Sel Calcs'!E58</f>
        <v>0</v>
      </c>
      <c r="N27" s="102" t="s">
        <v>508</v>
      </c>
      <c r="O27" s="102">
        <f>'Mod Sel Calcs'!K58</f>
        <v>0</v>
      </c>
      <c r="P27" s="102">
        <f>'Mod Sel Calcs'!L58</f>
        <v>0</v>
      </c>
      <c r="Q27" s="108">
        <f>'Mod Sel Calcs'!O58</f>
        <v>0</v>
      </c>
      <c r="R27" s="108">
        <f>'Mod Sel Calcs'!P58</f>
        <v>0</v>
      </c>
      <c r="S27" s="109"/>
    </row>
    <row r="28" spans="2:21" ht="20.25" customHeight="1" x14ac:dyDescent="0.3">
      <c r="B28" s="376"/>
      <c r="C28" s="566" t="str">
        <f>IF(D28="","",2)</f>
        <v/>
      </c>
      <c r="D28" s="567" t="str">
        <f>IF(D8=0,"",IF(D27="","",IF(U30=0,"",INDEX($N$25:$R$32,MATCH($N$34,$N$25:$N$32,1),MATCH("QTY 2",$N$25:$R$25,0)))))</f>
        <v/>
      </c>
      <c r="E28" s="568" t="str">
        <f>IF(D28="","",IF($N$34=0,0,INDEX($N$25:$R$32,MATCH($N$34,$N$25:$N$32,1),MATCH("Model 2",$N$25:$R$25,0))))</f>
        <v/>
      </c>
      <c r="F28" s="921" t="str">
        <f>IF(D$28="","",VLOOKUP(E28,'Mod Sel Calcs'!$X$6:$Y$193,2))</f>
        <v/>
      </c>
      <c r="G28" s="922"/>
      <c r="H28" s="922"/>
      <c r="I28" s="923"/>
      <c r="M28" s="102">
        <f>'Mod Sel Calcs'!E60</f>
        <v>0</v>
      </c>
      <c r="N28" s="102" t="s">
        <v>509</v>
      </c>
      <c r="O28" s="102">
        <f>'Mod Sel Calcs'!K60</f>
        <v>0</v>
      </c>
      <c r="P28" s="108">
        <f>'Mod Sel Calcs'!L60</f>
        <v>0</v>
      </c>
      <c r="Q28" s="108">
        <f>'Mod Sel Calcs'!O60</f>
        <v>0</v>
      </c>
      <c r="R28" s="108">
        <f>'Mod Sel Calcs'!P60</f>
        <v>0</v>
      </c>
      <c r="S28" s="108"/>
    </row>
    <row r="29" spans="2:21" ht="20.25" customHeight="1" x14ac:dyDescent="0.3">
      <c r="B29" s="376"/>
      <c r="C29" s="926" t="str">
        <f>IF(D17="x","Wall Mount Conversion Kit to convert above IP00 (Chassis) to IP20 (UL Type 1) assembly:","")</f>
        <v/>
      </c>
      <c r="D29" s="927"/>
      <c r="E29" s="927"/>
      <c r="F29" s="927"/>
      <c r="G29" s="927"/>
      <c r="H29" s="927"/>
      <c r="I29" s="928"/>
      <c r="M29" s="102">
        <f>'Mod Sel Calcs'!E62</f>
        <v>0</v>
      </c>
      <c r="N29" s="102" t="s">
        <v>626</v>
      </c>
      <c r="O29" s="102">
        <f>'Mod Sel Calcs'!K62</f>
        <v>0</v>
      </c>
      <c r="P29" s="108">
        <f>'Mod Sel Calcs'!L62</f>
        <v>0</v>
      </c>
      <c r="Q29" s="108">
        <f>'Mod Sel Calcs'!O62</f>
        <v>0</v>
      </c>
      <c r="R29" s="108">
        <f>'Mod Sel Calcs'!P62</f>
        <v>0</v>
      </c>
    </row>
    <row r="30" spans="2:21" ht="20.25" customHeight="1" x14ac:dyDescent="0.3">
      <c r="B30" s="376"/>
      <c r="C30" s="566" t="str">
        <f>IF(D$17="x",IF(C27=1,IF(C28=2,3,2),""),"")</f>
        <v/>
      </c>
      <c r="D30" s="567" t="str">
        <f>IF(C30="","",D27)</f>
        <v/>
      </c>
      <c r="E30" s="569" t="str">
        <f>IF(C30="","",IF('Mod Sel Calcs'!E94&gt;0,'Mod Sel Calcs'!E94,IF('Mod Sel Calcs'!E95&gt;0,'Mod Sel Calcs'!E95,"")))</f>
        <v/>
      </c>
      <c r="F30" s="931" t="str">
        <f>IF(D30="","",VLOOKUP(E30,'Mod Sel Calcs'!$X$6:$Y$193,2))</f>
        <v/>
      </c>
      <c r="G30" s="931"/>
      <c r="H30" s="931"/>
      <c r="I30" s="932"/>
      <c r="M30" s="102">
        <f>'Mod Sel Calcs'!E66</f>
        <v>0</v>
      </c>
      <c r="N30" s="102" t="s">
        <v>627</v>
      </c>
      <c r="O30" s="102">
        <f>'Mod Sel Calcs'!K66</f>
        <v>0</v>
      </c>
      <c r="P30" s="108">
        <f>'Mod Sel Calcs'!L66</f>
        <v>0</v>
      </c>
      <c r="Q30" s="108">
        <f>'Mod Sel Calcs'!O66</f>
        <v>0</v>
      </c>
      <c r="R30" s="108">
        <f>'Mod Sel Calcs'!P66</f>
        <v>0</v>
      </c>
      <c r="U30" s="102" t="e">
        <f>IF($N$34=0,0,INDEX($N$25:$R$32,MATCH($N$34,$N$25:$N$32,1),MATCH("QTY 2",$N$25:$R$25,0)))</f>
        <v>#N/A</v>
      </c>
    </row>
    <row r="31" spans="2:21" ht="20.25" customHeight="1" thickBot="1" x14ac:dyDescent="0.35">
      <c r="B31" s="376"/>
      <c r="C31" s="650" t="str">
        <f>IF(D$17="x",IF(C28=2,4,""),"")</f>
        <v/>
      </c>
      <c r="D31" s="651" t="str">
        <f>IF(C31="","",D28)</f>
        <v/>
      </c>
      <c r="E31" s="570" t="str">
        <f>IF(C31="","",IF('Mod Sel Calcs'!E97&gt;0,'Mod Sel Calcs'!E97,IF('Mod Sel Calcs'!E98&gt;0,'Mod Sel Calcs'!E98,"")))</f>
        <v/>
      </c>
      <c r="F31" s="924" t="str">
        <f>IF(D31="","",VLOOKUP(E31,'Mod Sel Calcs'!$X$6:$Y$193,2))</f>
        <v/>
      </c>
      <c r="G31" s="924"/>
      <c r="H31" s="924"/>
      <c r="I31" s="925"/>
      <c r="M31" s="102">
        <f>'Mod Sel Calcs'!E68</f>
        <v>0</v>
      </c>
      <c r="N31" s="102" t="s">
        <v>628</v>
      </c>
      <c r="O31" s="102">
        <f>'Mod Sel Calcs'!K68</f>
        <v>0</v>
      </c>
      <c r="P31" s="108">
        <f>'Mod Sel Calcs'!L68</f>
        <v>0</v>
      </c>
      <c r="Q31" s="108">
        <f>'Mod Sel Calcs'!O68</f>
        <v>0</v>
      </c>
      <c r="R31" s="108">
        <f>'Mod Sel Calcs'!P68</f>
        <v>0</v>
      </c>
    </row>
    <row r="32" spans="2:21" ht="20.25" customHeight="1" x14ac:dyDescent="0.3">
      <c r="B32" s="376"/>
      <c r="C32" s="571"/>
      <c r="D32" s="571"/>
      <c r="E32" s="572"/>
      <c r="F32" s="572"/>
      <c r="G32" s="572"/>
      <c r="H32" s="572"/>
      <c r="I32" s="572"/>
      <c r="J32" s="108"/>
      <c r="M32" s="102">
        <f>'Mod Sel Calcs'!E70</f>
        <v>0</v>
      </c>
      <c r="N32" s="102" t="s">
        <v>629</v>
      </c>
      <c r="O32" s="102">
        <f>'Mod Sel Calcs'!K70</f>
        <v>0</v>
      </c>
      <c r="P32" s="108">
        <f>'Mod Sel Calcs'!L70</f>
        <v>0</v>
      </c>
      <c r="Q32" s="108">
        <f>'Mod Sel Calcs'!O70</f>
        <v>0</v>
      </c>
      <c r="R32" s="108">
        <f>'Mod Sel Calcs'!P70</f>
        <v>0</v>
      </c>
    </row>
    <row r="33" spans="2:18" ht="20.25" customHeight="1" x14ac:dyDescent="0.25">
      <c r="B33" s="914" t="s">
        <v>314</v>
      </c>
      <c r="C33" s="914"/>
      <c r="D33" s="914"/>
      <c r="E33" s="914"/>
      <c r="F33" s="914"/>
      <c r="G33" s="914"/>
      <c r="H33" s="914"/>
      <c r="I33" s="914"/>
      <c r="J33" s="108"/>
    </row>
    <row r="34" spans="2:18" ht="20.25" customHeight="1" x14ac:dyDescent="0.25">
      <c r="C34" s="111"/>
      <c r="D34" s="111"/>
      <c r="E34" s="111"/>
      <c r="F34" s="111"/>
      <c r="G34" s="111"/>
      <c r="H34" s="111"/>
      <c r="I34" s="111"/>
      <c r="J34" s="108"/>
      <c r="N34" s="102" t="str">
        <f>IF(M26=1,"A",IF(M27=1,"B",IF(M28=1,"C",IF(M29=1,"D",IF(M30=1,"E",IF(M31=1,"F",IF(M32=1,"G","")))))))</f>
        <v/>
      </c>
      <c r="P34" s="108"/>
      <c r="Q34" s="108"/>
      <c r="R34" s="108"/>
    </row>
    <row r="35" spans="2:18" ht="20.25" customHeight="1" x14ac:dyDescent="0.25">
      <c r="C35" s="110"/>
      <c r="D35" s="110"/>
      <c r="E35" s="111"/>
      <c r="F35" s="111"/>
      <c r="G35" s="111"/>
      <c r="H35" s="111"/>
      <c r="I35" s="111"/>
      <c r="J35" s="108"/>
    </row>
    <row r="36" spans="2:18" ht="20.25" customHeight="1" x14ac:dyDescent="0.25">
      <c r="C36" s="110"/>
      <c r="D36" s="110"/>
      <c r="E36" s="111"/>
      <c r="F36" s="111"/>
      <c r="G36" s="111"/>
      <c r="H36" s="111"/>
      <c r="I36" s="111"/>
      <c r="J36" s="108"/>
    </row>
    <row r="37" spans="2:18" ht="20.25" customHeight="1" x14ac:dyDescent="0.25">
      <c r="B37" s="112"/>
      <c r="C37" s="112"/>
      <c r="D37" s="112"/>
      <c r="E37" s="112"/>
      <c r="F37" s="112"/>
      <c r="G37" s="112"/>
      <c r="H37" s="112"/>
      <c r="I37" s="112"/>
    </row>
    <row r="38" spans="2:18" ht="20.25" customHeight="1" x14ac:dyDescent="0.25">
      <c r="C38" s="113"/>
      <c r="D38" s="113"/>
      <c r="E38" s="114"/>
      <c r="F38" s="115"/>
      <c r="G38" s="115"/>
      <c r="H38" s="115"/>
      <c r="I38" s="115"/>
    </row>
    <row r="39" spans="2:18" ht="20.25" customHeight="1" x14ac:dyDescent="0.3">
      <c r="C39" s="116"/>
      <c r="D39" s="116"/>
      <c r="E39" s="116"/>
      <c r="F39" s="116"/>
      <c r="G39" s="116"/>
      <c r="H39" s="116"/>
      <c r="I39" s="117"/>
    </row>
    <row r="40" spans="2:18" ht="20.25" customHeight="1" x14ac:dyDescent="0.35">
      <c r="B40" s="118"/>
      <c r="C40" s="119"/>
      <c r="D40" s="119"/>
      <c r="E40" s="119"/>
      <c r="F40" s="119"/>
      <c r="G40" s="119"/>
      <c r="H40" s="119"/>
      <c r="I40" s="119"/>
    </row>
    <row r="41" spans="2:18" ht="20.25" customHeight="1" x14ac:dyDescent="0.35">
      <c r="B41" s="118"/>
      <c r="C41" s="119"/>
      <c r="D41" s="119"/>
      <c r="E41" s="119"/>
      <c r="F41" s="119"/>
      <c r="G41" s="119"/>
      <c r="H41" s="119"/>
      <c r="I41" s="119"/>
    </row>
    <row r="43" spans="2:18" ht="20.25" customHeight="1" x14ac:dyDescent="0.3">
      <c r="B43" s="118"/>
      <c r="C43" s="118"/>
      <c r="D43" s="118"/>
      <c r="E43" s="118"/>
      <c r="F43" s="118"/>
      <c r="G43" s="118"/>
      <c r="H43" s="118"/>
      <c r="I43" s="118"/>
    </row>
    <row r="44" spans="2:18" ht="20.25" customHeight="1" x14ac:dyDescent="0.3">
      <c r="B44" s="118"/>
      <c r="C44" s="118"/>
      <c r="D44" s="118"/>
      <c r="E44" s="118"/>
      <c r="F44" s="118"/>
      <c r="G44" s="118"/>
      <c r="H44" s="118"/>
      <c r="I44" s="118"/>
    </row>
    <row r="45" spans="2:18" ht="20.25" customHeight="1" x14ac:dyDescent="0.3">
      <c r="B45" s="118"/>
      <c r="C45" s="118"/>
      <c r="D45" s="118"/>
      <c r="E45" s="118"/>
      <c r="F45" s="118"/>
      <c r="G45" s="118"/>
      <c r="H45" s="118"/>
      <c r="I45" s="118"/>
    </row>
    <row r="46" spans="2:18" ht="20.25" customHeight="1" x14ac:dyDescent="0.3">
      <c r="B46" s="107"/>
      <c r="C46" s="120"/>
      <c r="D46" s="120"/>
      <c r="E46" s="120"/>
      <c r="F46" s="120"/>
      <c r="G46" s="120"/>
      <c r="H46" s="120"/>
      <c r="I46" s="107"/>
    </row>
    <row r="47" spans="2:18" ht="20.25" customHeight="1" x14ac:dyDescent="0.25">
      <c r="C47" s="121"/>
      <c r="D47" s="121"/>
      <c r="E47" s="121"/>
      <c r="F47" s="121"/>
      <c r="G47" s="121"/>
      <c r="H47" s="121"/>
    </row>
    <row r="48" spans="2:18" ht="20.25" customHeight="1" x14ac:dyDescent="0.25">
      <c r="C48" s="121"/>
      <c r="D48" s="121"/>
      <c r="E48" s="121"/>
      <c r="F48" s="121"/>
      <c r="G48" s="121"/>
      <c r="H48" s="121"/>
    </row>
  </sheetData>
  <sheetProtection algorithmName="SHA-512" hashValue="VXDe8FwB4U+Q8EIOtyl26HbMjng9FCh66OLmPnbQHNtw2Whx4ZCQLAVR+8tkYXQg6j6z+We/b36u2FyWjsbpKg==" saltValue="CfP/f0YAyRmoA2iSwu+Pfw==" spinCount="100000" sheet="1" objects="1" scenarios="1"/>
  <mergeCells count="32">
    <mergeCell ref="B33:I33"/>
    <mergeCell ref="C24:I24"/>
    <mergeCell ref="C25:I25"/>
    <mergeCell ref="F27:I27"/>
    <mergeCell ref="F31:I31"/>
    <mergeCell ref="C29:I29"/>
    <mergeCell ref="F26:I26"/>
    <mergeCell ref="F30:I30"/>
    <mergeCell ref="F28:I28"/>
    <mergeCell ref="F16:I16"/>
    <mergeCell ref="E17:F17"/>
    <mergeCell ref="E12:I12"/>
    <mergeCell ref="F13:I13"/>
    <mergeCell ref="B22:B23"/>
    <mergeCell ref="B16:C21"/>
    <mergeCell ref="G17:G20"/>
    <mergeCell ref="E18:F18"/>
    <mergeCell ref="E19:F19"/>
    <mergeCell ref="E20:F20"/>
    <mergeCell ref="E21:F21"/>
    <mergeCell ref="B1:I1"/>
    <mergeCell ref="B13:C13"/>
    <mergeCell ref="B12:C12"/>
    <mergeCell ref="C3:F3"/>
    <mergeCell ref="F4:I6"/>
    <mergeCell ref="B6:C6"/>
    <mergeCell ref="D8:D9"/>
    <mergeCell ref="B10:C10"/>
    <mergeCell ref="B8:C9"/>
    <mergeCell ref="H7:I7"/>
    <mergeCell ref="H8:I8"/>
    <mergeCell ref="H9:I9"/>
  </mergeCells>
  <phoneticPr fontId="11" type="noConversion"/>
  <dataValidations count="4">
    <dataValidation type="list" allowBlank="1" showInputMessage="1" showErrorMessage="1" sqref="D18" xr:uid="{00000000-0002-0000-0700-000000000000}">
      <formula1>$T7:$T$8</formula1>
    </dataValidation>
    <dataValidation type="list" allowBlank="1" showInputMessage="1" showErrorMessage="1" sqref="D16:D17 D19:D21" xr:uid="{00000000-0002-0000-0700-000001000000}">
      <formula1>$T$7:$T$8</formula1>
    </dataValidation>
    <dataValidation type="list" allowBlank="1" showInputMessage="1" showErrorMessage="1" sqref="D11" xr:uid="{00000000-0002-0000-0700-000002000000}">
      <formula1>#REF!</formula1>
    </dataValidation>
    <dataValidation type="list" allowBlank="1" showInputMessage="1" showErrorMessage="1" sqref="D10" xr:uid="{00000000-0002-0000-0700-000003000000}">
      <formula1>$R$7:$R$8</formula1>
    </dataValidation>
  </dataValidations>
  <pageMargins left="0.99" right="0.75" top="1.55" bottom="1" header="0.5" footer="0.5"/>
  <pageSetup orientation="portrait" r:id="rId1"/>
  <headerFooter alignWithMargins="0">
    <oddHeader>&amp;C&amp;14&amp;G</oddHeader>
    <oddFooter>&amp;L&amp;F&amp;R&amp;D&amp;C&amp;"Calibri"&amp;11&amp;K000000Page &amp;P of &amp;N_x000D_&amp;1#&amp;"Arial"&amp;6&amp;K626469Internal</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I193"/>
  <sheetViews>
    <sheetView topLeftCell="A48" workbookViewId="0">
      <selection activeCell="F76" sqref="F76"/>
    </sheetView>
  </sheetViews>
  <sheetFormatPr defaultColWidth="9.08984375" defaultRowHeight="12.5" x14ac:dyDescent="0.25"/>
  <cols>
    <col min="1" max="4" width="9.08984375" style="53"/>
    <col min="5" max="5" width="17.453125" style="53" customWidth="1"/>
    <col min="6" max="6" width="18.36328125" style="53" customWidth="1"/>
    <col min="7" max="7" width="16.08984375" style="53" customWidth="1"/>
    <col min="8" max="10" width="9.08984375" style="53"/>
    <col min="11" max="11" width="16.08984375" style="53" customWidth="1"/>
    <col min="12" max="12" width="15.6328125" style="53" customWidth="1"/>
    <col min="13" max="13" width="17.54296875" style="53" customWidth="1"/>
    <col min="14" max="14" width="18.90625" style="53" customWidth="1"/>
    <col min="15" max="15" width="16.90625" style="53" customWidth="1"/>
    <col min="16" max="16" width="15.90625" style="53" customWidth="1"/>
    <col min="17" max="17" width="19.6328125" style="53" customWidth="1"/>
    <col min="18" max="23" width="9.08984375" style="53"/>
    <col min="24" max="24" width="15.90625" style="53" customWidth="1"/>
    <col min="25" max="25" width="42.6328125" style="53" customWidth="1"/>
    <col min="26" max="16384" width="9.08984375" style="53"/>
  </cols>
  <sheetData>
    <row r="1" spans="1:35" ht="23" x14ac:dyDescent="0.5">
      <c r="A1" s="56"/>
      <c r="B1" s="56"/>
      <c r="C1" s="56"/>
      <c r="D1" s="56"/>
      <c r="E1" s="56"/>
      <c r="F1" s="56"/>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c r="AI1"/>
    </row>
    <row r="2" spans="1:35"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c r="AI2"/>
    </row>
    <row r="3" spans="1:35" ht="17.5" x14ac:dyDescent="0.3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2"/>
      <c r="AI3" s="52"/>
    </row>
    <row r="4" spans="1:35" x14ac:dyDescent="0.25">
      <c r="A4" s="43"/>
      <c r="B4" s="43"/>
      <c r="C4" s="43"/>
      <c r="D4" s="43"/>
      <c r="E4" s="44"/>
      <c r="F4" s="43"/>
      <c r="G4" s="43"/>
      <c r="H4" s="43"/>
      <c r="I4" s="43"/>
      <c r="J4" s="43"/>
      <c r="K4" s="43"/>
      <c r="L4" s="44"/>
      <c r="M4" s="43"/>
      <c r="N4" s="43"/>
      <c r="O4" s="43"/>
      <c r="P4" s="43"/>
      <c r="Q4" s="43"/>
      <c r="R4" s="43"/>
      <c r="S4" s="43"/>
      <c r="T4" s="43"/>
      <c r="U4" s="43"/>
      <c r="V4" s="43"/>
      <c r="W4" s="43"/>
      <c r="X4" s="43"/>
      <c r="Y4" s="43"/>
      <c r="Z4" s="43"/>
      <c r="AA4" s="43"/>
      <c r="AB4" s="43"/>
      <c r="AC4" s="43"/>
      <c r="AD4" s="43"/>
      <c r="AE4" s="43"/>
      <c r="AF4" s="43"/>
      <c r="AG4" s="43"/>
      <c r="AH4"/>
      <c r="AI4"/>
    </row>
    <row r="5" spans="1:35" ht="15.5" x14ac:dyDescent="0.35">
      <c r="A5" s="58"/>
      <c r="B5" s="58"/>
      <c r="C5" s="58"/>
      <c r="D5" s="58"/>
      <c r="E5" s="58"/>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c r="AI5"/>
    </row>
    <row r="6" spans="1:35" x14ac:dyDescent="0.25">
      <c r="A6" s="42"/>
      <c r="B6" s="42"/>
      <c r="C6" s="75"/>
      <c r="D6" s="75"/>
      <c r="E6" s="42"/>
      <c r="F6" s="42"/>
      <c r="G6" s="43"/>
      <c r="H6" s="43"/>
      <c r="I6" s="43"/>
      <c r="Q6" s="43"/>
      <c r="R6" s="43"/>
      <c r="S6" s="43"/>
      <c r="T6" s="43"/>
      <c r="U6" s="43"/>
      <c r="V6" s="43"/>
      <c r="W6" s="43"/>
      <c r="X6" s="43" t="s">
        <v>265</v>
      </c>
      <c r="Y6" s="43" t="s">
        <v>255</v>
      </c>
      <c r="Z6" s="43"/>
      <c r="AA6" s="43"/>
      <c r="AB6" s="43"/>
      <c r="AC6" s="43"/>
      <c r="AD6" s="43"/>
      <c r="AE6" s="43"/>
      <c r="AF6" s="43"/>
      <c r="AG6" s="43"/>
      <c r="AH6"/>
      <c r="AI6"/>
    </row>
    <row r="7" spans="1:35" ht="15.5" x14ac:dyDescent="0.35">
      <c r="A7" s="58"/>
      <c r="B7" s="58"/>
      <c r="C7" s="60"/>
      <c r="D7" s="60"/>
      <c r="E7" s="58"/>
      <c r="F7" s="43"/>
      <c r="G7" s="43" t="s">
        <v>357</v>
      </c>
      <c r="H7" s="43"/>
      <c r="I7" s="43"/>
      <c r="J7" s="43">
        <v>240</v>
      </c>
      <c r="K7" s="43" t="s">
        <v>256</v>
      </c>
      <c r="L7" s="55" t="s">
        <v>595</v>
      </c>
      <c r="M7" s="55" t="s">
        <v>413</v>
      </c>
      <c r="N7" s="55" t="s">
        <v>253</v>
      </c>
      <c r="O7" s="55" t="s">
        <v>507</v>
      </c>
      <c r="P7" s="55" t="s">
        <v>385</v>
      </c>
      <c r="Q7" s="43"/>
      <c r="R7" s="43"/>
      <c r="S7" s="43"/>
      <c r="T7" s="43"/>
      <c r="U7" s="43"/>
      <c r="V7" s="43"/>
      <c r="W7" s="43"/>
      <c r="X7" s="20" t="s">
        <v>494</v>
      </c>
      <c r="Y7" s="15" t="s">
        <v>578</v>
      </c>
      <c r="Z7" s="43"/>
      <c r="AA7" s="43"/>
      <c r="AB7" s="43"/>
      <c r="AC7" s="43"/>
      <c r="AD7" s="43"/>
      <c r="AE7" s="43"/>
      <c r="AF7" s="43"/>
      <c r="AG7" s="43"/>
      <c r="AH7"/>
      <c r="AI7"/>
    </row>
    <row r="8" spans="1:35" ht="16" thickBot="1" x14ac:dyDescent="0.4">
      <c r="A8" s="58"/>
      <c r="B8" s="58"/>
      <c r="C8" s="58"/>
      <c r="D8" s="933" t="s">
        <v>598</v>
      </c>
      <c r="E8" s="933"/>
      <c r="F8" s="74">
        <f>'Model Selector'!D8:D9</f>
        <v>0</v>
      </c>
      <c r="G8" s="43"/>
      <c r="H8" s="43"/>
      <c r="I8" s="43"/>
      <c r="J8" s="43">
        <f>IF(S$56="IP00",$D$11,IF(S$56="IP20",$D$11,$F$11))*$D$10*K8</f>
        <v>60</v>
      </c>
      <c r="K8" s="43">
        <v>60</v>
      </c>
      <c r="L8" s="55" t="s">
        <v>721</v>
      </c>
      <c r="M8" s="55" t="s">
        <v>722</v>
      </c>
      <c r="N8" s="55" t="s">
        <v>723</v>
      </c>
      <c r="O8" s="55" t="s">
        <v>724</v>
      </c>
      <c r="P8" s="55" t="s">
        <v>725</v>
      </c>
      <c r="Q8" s="43"/>
      <c r="R8" s="43"/>
      <c r="S8" s="43"/>
      <c r="T8" s="43"/>
      <c r="U8" s="43"/>
      <c r="V8" s="43"/>
      <c r="W8" s="43"/>
      <c r="X8" s="20" t="s">
        <v>496</v>
      </c>
      <c r="Y8" s="20" t="s">
        <v>587</v>
      </c>
      <c r="Z8" s="43"/>
      <c r="AA8" s="43"/>
      <c r="AB8" s="43"/>
      <c r="AC8" s="43"/>
      <c r="AD8" s="43"/>
      <c r="AE8" s="43"/>
      <c r="AF8" s="43"/>
      <c r="AG8" s="43"/>
      <c r="AH8"/>
      <c r="AI8"/>
    </row>
    <row r="9" spans="1:35" x14ac:dyDescent="0.25">
      <c r="A9" s="43"/>
      <c r="B9" s="45"/>
      <c r="C9" s="86"/>
      <c r="D9" s="291" t="s">
        <v>1018</v>
      </c>
      <c r="E9" s="290" t="s">
        <v>1019</v>
      </c>
      <c r="F9" s="76" t="s">
        <v>604</v>
      </c>
      <c r="G9" s="43">
        <f>IF('Model Selector'!D6=0,1,IF('Model Selector'!D6&lt;=690,1,'Model Selector'!D6/480))</f>
        <v>1</v>
      </c>
      <c r="H9" s="43" t="s">
        <v>358</v>
      </c>
      <c r="I9" s="43"/>
      <c r="J9" s="43">
        <f t="shared" ref="J9:J11" si="0">IF(S$56="IP00",$D$11,IF(S$56="IP20",$D$11,$F$11))*$D$10*K9</f>
        <v>120</v>
      </c>
      <c r="K9" s="43">
        <v>120</v>
      </c>
      <c r="L9" s="55" t="s">
        <v>726</v>
      </c>
      <c r="M9" s="55" t="s">
        <v>727</v>
      </c>
      <c r="N9" s="55" t="s">
        <v>728</v>
      </c>
      <c r="O9" s="55" t="s">
        <v>729</v>
      </c>
      <c r="P9" s="55" t="s">
        <v>730</v>
      </c>
      <c r="Q9" s="43"/>
      <c r="R9" s="43"/>
      <c r="S9" s="43"/>
      <c r="T9" s="43"/>
      <c r="U9" s="43"/>
      <c r="V9" s="43"/>
      <c r="W9" s="43"/>
      <c r="X9" s="20" t="s">
        <v>495</v>
      </c>
      <c r="Y9" s="20" t="s">
        <v>591</v>
      </c>
      <c r="Z9" s="43"/>
      <c r="AA9" s="43"/>
      <c r="AB9" s="43"/>
      <c r="AC9" s="43"/>
      <c r="AD9" s="43"/>
      <c r="AE9" s="43"/>
      <c r="AF9" s="43"/>
      <c r="AG9" s="43"/>
      <c r="AH9"/>
      <c r="AI9"/>
    </row>
    <row r="10" spans="1:35" x14ac:dyDescent="0.25">
      <c r="A10" s="82" t="s">
        <v>602</v>
      </c>
      <c r="B10" s="46" t="s">
        <v>313</v>
      </c>
      <c r="C10" s="46"/>
      <c r="D10" s="89">
        <f>IF('Model Selector'!$D$12="",1,IF('Model Selector'!$D$12&lt;=1000,1,IF('Model Selector'!$D$12&gt;1000,1-('Model Selector'!$D$12-1000)*0.01/100)))</f>
        <v>1</v>
      </c>
      <c r="E10" s="71"/>
      <c r="F10" s="48"/>
      <c r="G10" s="43"/>
      <c r="H10" s="43"/>
      <c r="I10" s="43"/>
      <c r="J10" s="43">
        <f t="shared" si="0"/>
        <v>200</v>
      </c>
      <c r="K10" s="43">
        <v>200</v>
      </c>
      <c r="L10" s="55" t="s">
        <v>731</v>
      </c>
      <c r="M10" s="55" t="s">
        <v>732</v>
      </c>
      <c r="N10" s="55" t="s">
        <v>733</v>
      </c>
      <c r="O10" s="55" t="s">
        <v>734</v>
      </c>
      <c r="P10" s="55" t="s">
        <v>735</v>
      </c>
      <c r="Q10" s="43"/>
      <c r="R10" s="43"/>
      <c r="S10" s="43"/>
      <c r="T10" s="43"/>
      <c r="U10" s="43"/>
      <c r="V10" s="43"/>
      <c r="W10" s="43"/>
      <c r="X10" s="20" t="s">
        <v>493</v>
      </c>
      <c r="Y10" s="20" t="s">
        <v>582</v>
      </c>
      <c r="Z10" s="43"/>
      <c r="AA10" s="43"/>
      <c r="AB10" s="43"/>
      <c r="AC10" s="43"/>
      <c r="AD10" s="43"/>
      <c r="AE10" s="43"/>
      <c r="AF10" s="43"/>
      <c r="AG10" s="43"/>
      <c r="AH10"/>
      <c r="AI10"/>
    </row>
    <row r="11" spans="1:35" x14ac:dyDescent="0.25">
      <c r="A11" s="82" t="s">
        <v>603</v>
      </c>
      <c r="B11" s="46" t="s">
        <v>313</v>
      </c>
      <c r="C11" s="87"/>
      <c r="D11" s="90">
        <f>IF('Model Selector'!$D$13="",1,IF('Model Selector'!$D$13&lt;=45,1,IF('Model Selector'!$D$13&gt;45,1-('Model Selector'!$D$13-45)*0.02)))</f>
        <v>1</v>
      </c>
      <c r="E11" s="90">
        <f>IF('Model Selector'!$D$13="",1,IF('Model Selector'!$D$13&lt;=40,1,IF('Model Selector'!$D$13&gt;40,1-('Model Selector'!$D$13-40)*0.02)))</f>
        <v>1</v>
      </c>
      <c r="F11" s="78">
        <f>IF('Model Selector'!$D$13="",1,IF('Model Selector'!$D$13&lt;=40,1,IF('Model Selector'!$D$13&gt;40,1-('Model Selector'!$D$13-40)*0.02)))</f>
        <v>1</v>
      </c>
      <c r="G11" s="43"/>
      <c r="H11" s="43"/>
      <c r="I11" s="43"/>
      <c r="J11" s="43">
        <f t="shared" si="0"/>
        <v>300</v>
      </c>
      <c r="K11" s="43">
        <v>300</v>
      </c>
      <c r="L11" s="55" t="s">
        <v>736</v>
      </c>
      <c r="M11" s="55" t="s">
        <v>737</v>
      </c>
      <c r="N11" s="55" t="s">
        <v>738</v>
      </c>
      <c r="O11" s="55" t="s">
        <v>739</v>
      </c>
      <c r="P11" s="55" t="s">
        <v>740</v>
      </c>
      <c r="Q11" s="43"/>
      <c r="R11" s="43"/>
      <c r="S11" s="43"/>
      <c r="T11" s="43"/>
      <c r="U11" s="43"/>
      <c r="V11" s="43"/>
      <c r="W11" s="43"/>
      <c r="X11" s="83" t="s">
        <v>513</v>
      </c>
      <c r="Y11" s="84" t="s">
        <v>655</v>
      </c>
      <c r="Z11" s="43"/>
      <c r="AA11" s="43"/>
      <c r="AB11" s="43"/>
      <c r="AC11" s="43"/>
      <c r="AD11" s="43"/>
      <c r="AE11" s="43"/>
      <c r="AF11" s="43"/>
      <c r="AG11" s="43"/>
      <c r="AH11"/>
      <c r="AI11"/>
    </row>
    <row r="12" spans="1:35" ht="13" thickBot="1" x14ac:dyDescent="0.3">
      <c r="A12" s="43"/>
      <c r="B12" s="50"/>
      <c r="C12" s="88"/>
      <c r="D12" s="91" t="s">
        <v>701</v>
      </c>
      <c r="E12" s="92" t="s">
        <v>411</v>
      </c>
      <c r="F12" s="77" t="s">
        <v>411</v>
      </c>
      <c r="G12" s="43"/>
      <c r="H12" s="43"/>
      <c r="I12" s="43"/>
      <c r="J12" s="43"/>
      <c r="K12" s="43"/>
      <c r="L12" s="43"/>
      <c r="M12" s="43"/>
      <c r="N12" s="43"/>
      <c r="O12" s="43"/>
      <c r="P12" s="43"/>
      <c r="Q12" s="43"/>
      <c r="R12" s="43"/>
      <c r="S12" s="43"/>
      <c r="T12" s="43"/>
      <c r="U12" s="43"/>
      <c r="V12" s="43"/>
      <c r="W12" s="43"/>
      <c r="X12" s="83" t="s">
        <v>483</v>
      </c>
      <c r="Y12" s="84" t="s">
        <v>656</v>
      </c>
      <c r="Z12" s="43"/>
      <c r="AA12" s="43"/>
      <c r="AB12" s="43"/>
      <c r="AC12" s="43"/>
      <c r="AD12" s="43"/>
      <c r="AE12" s="43"/>
      <c r="AF12" s="43"/>
      <c r="AG12" s="43"/>
      <c r="AH12"/>
      <c r="AI12"/>
    </row>
    <row r="13" spans="1:35" x14ac:dyDescent="0.25">
      <c r="A13" s="43"/>
      <c r="B13" s="43"/>
      <c r="C13" s="43"/>
      <c r="D13" s="43"/>
      <c r="E13" s="43" t="s">
        <v>307</v>
      </c>
      <c r="F13" s="43"/>
      <c r="G13" s="43"/>
      <c r="H13" s="43"/>
      <c r="I13" s="43"/>
      <c r="J13" s="43">
        <v>480</v>
      </c>
      <c r="K13" s="43" t="s">
        <v>256</v>
      </c>
      <c r="L13" s="55" t="s">
        <v>595</v>
      </c>
      <c r="M13" s="55" t="s">
        <v>413</v>
      </c>
      <c r="N13" s="55" t="s">
        <v>253</v>
      </c>
      <c r="O13" s="55" t="s">
        <v>507</v>
      </c>
      <c r="P13" s="55" t="s">
        <v>385</v>
      </c>
      <c r="Q13" s="44"/>
      <c r="R13" s="44"/>
      <c r="S13" s="44"/>
      <c r="T13" s="44"/>
      <c r="U13" s="43"/>
      <c r="V13" s="43"/>
      <c r="W13" s="43"/>
      <c r="X13" s="83" t="s">
        <v>482</v>
      </c>
      <c r="Y13" s="84" t="s">
        <v>657</v>
      </c>
      <c r="Z13" s="43"/>
      <c r="AA13" s="43"/>
      <c r="AB13" s="43"/>
      <c r="AC13" s="43"/>
      <c r="AD13" s="43"/>
      <c r="AE13" s="43"/>
      <c r="AF13" s="43"/>
      <c r="AG13" s="43"/>
      <c r="AH13"/>
      <c r="AI13"/>
    </row>
    <row r="14" spans="1:35" x14ac:dyDescent="0.25">
      <c r="A14" s="43"/>
      <c r="B14" s="43"/>
      <c r="C14" s="43"/>
      <c r="D14" s="43"/>
      <c r="E14" s="43" t="s">
        <v>304</v>
      </c>
      <c r="F14" s="43">
        <f>IF('Model Selector'!D16="x",1,0)</f>
        <v>0</v>
      </c>
      <c r="G14" s="43"/>
      <c r="H14" s="43"/>
      <c r="I14" s="43"/>
      <c r="J14" s="43">
        <f>IF(S$56="IP00",$D$11,IF(S$56="IP20",$D$11,$F$11))*$D$10*K14</f>
        <v>60</v>
      </c>
      <c r="K14" s="43">
        <v>60</v>
      </c>
      <c r="L14" s="55" t="s">
        <v>415</v>
      </c>
      <c r="M14" s="55" t="s">
        <v>420</v>
      </c>
      <c r="N14" s="55" t="s">
        <v>424</v>
      </c>
      <c r="O14" s="55" t="s">
        <v>428</v>
      </c>
      <c r="P14" s="55" t="s">
        <v>432</v>
      </c>
      <c r="Q14" s="43"/>
      <c r="R14" s="43"/>
      <c r="S14" s="43"/>
      <c r="T14" s="43"/>
      <c r="U14" s="43"/>
      <c r="V14" s="43"/>
      <c r="W14" s="43"/>
      <c r="X14" s="83" t="s">
        <v>481</v>
      </c>
      <c r="Y14" s="84" t="s">
        <v>658</v>
      </c>
      <c r="Z14" s="43"/>
      <c r="AA14" s="43"/>
      <c r="AB14" s="43"/>
      <c r="AC14" s="43"/>
      <c r="AD14" s="43"/>
      <c r="AE14" s="43"/>
      <c r="AF14" s="43"/>
      <c r="AG14" s="43"/>
      <c r="AH14"/>
      <c r="AI14"/>
    </row>
    <row r="15" spans="1:35" ht="15.5" x14ac:dyDescent="0.35">
      <c r="A15" s="43"/>
      <c r="B15" s="43"/>
      <c r="C15" s="43"/>
      <c r="D15" s="43"/>
      <c r="E15" s="43"/>
      <c r="F15" s="43">
        <f>IF('Model Selector'!D17="x",1,0)</f>
        <v>0</v>
      </c>
      <c r="G15" s="43"/>
      <c r="H15" s="43"/>
      <c r="I15" s="43"/>
      <c r="J15" s="43">
        <f t="shared" ref="J15:J17" si="1">IF(S$56="IP00",$D$11,IF(S$56="IP20",$D$11,$F$11))*$D$10*K15</f>
        <v>120</v>
      </c>
      <c r="K15" s="43">
        <v>120</v>
      </c>
      <c r="L15" s="55" t="s">
        <v>417</v>
      </c>
      <c r="M15" s="55" t="s">
        <v>421</v>
      </c>
      <c r="N15" s="55" t="s">
        <v>427</v>
      </c>
      <c r="O15" s="55" t="s">
        <v>429</v>
      </c>
      <c r="P15" s="55" t="s">
        <v>433</v>
      </c>
      <c r="Q15" s="43"/>
      <c r="R15" s="43"/>
      <c r="S15" s="43"/>
      <c r="T15" s="43"/>
      <c r="U15" s="43"/>
      <c r="V15" s="43"/>
      <c r="W15" s="43"/>
      <c r="X15" s="254" t="s">
        <v>741</v>
      </c>
      <c r="Y15" s="255" t="s">
        <v>782</v>
      </c>
      <c r="Z15" s="43"/>
      <c r="AA15" s="43"/>
      <c r="AB15" s="43"/>
      <c r="AC15" s="43"/>
      <c r="AD15" s="43"/>
      <c r="AE15" s="43"/>
      <c r="AF15" s="43"/>
      <c r="AG15" s="43"/>
      <c r="AH15"/>
      <c r="AI15"/>
    </row>
    <row r="16" spans="1:35" ht="15.5" x14ac:dyDescent="0.35">
      <c r="A16" s="43"/>
      <c r="B16" s="43"/>
      <c r="C16" s="253" t="s">
        <v>761</v>
      </c>
      <c r="D16" s="43"/>
      <c r="E16" s="67">
        <f>F8</f>
        <v>0</v>
      </c>
      <c r="F16" s="43">
        <f>IF('Model Selector'!D18="x",1,0)</f>
        <v>0</v>
      </c>
      <c r="G16" s="43"/>
      <c r="H16" s="43"/>
      <c r="I16" s="43"/>
      <c r="J16" s="43">
        <f t="shared" si="1"/>
        <v>200</v>
      </c>
      <c r="K16" s="43">
        <v>200</v>
      </c>
      <c r="L16" s="55" t="s">
        <v>418</v>
      </c>
      <c r="M16" s="55" t="s">
        <v>422</v>
      </c>
      <c r="N16" s="55" t="s">
        <v>425</v>
      </c>
      <c r="O16" s="55" t="s">
        <v>430</v>
      </c>
      <c r="P16" s="55" t="s">
        <v>434</v>
      </c>
      <c r="Q16" s="43"/>
      <c r="R16" s="43"/>
      <c r="S16" s="43"/>
      <c r="T16" s="43"/>
      <c r="U16" s="43"/>
      <c r="V16" s="43"/>
      <c r="W16" s="43"/>
      <c r="X16" s="254" t="s">
        <v>741</v>
      </c>
      <c r="Y16" s="255" t="s">
        <v>782</v>
      </c>
      <c r="Z16" s="43"/>
      <c r="AA16" s="43"/>
      <c r="AB16" s="43"/>
      <c r="AC16" s="43"/>
      <c r="AD16" s="43"/>
      <c r="AE16" s="43"/>
      <c r="AF16" s="43"/>
      <c r="AG16" s="43"/>
      <c r="AH16"/>
      <c r="AI16"/>
    </row>
    <row r="17" spans="1:35" ht="15.5" x14ac:dyDescent="0.35">
      <c r="A17" s="43"/>
      <c r="B17" s="43"/>
      <c r="C17" s="43"/>
      <c r="D17" s="65" t="s">
        <v>366</v>
      </c>
      <c r="E17" s="67">
        <f>F8</f>
        <v>0</v>
      </c>
      <c r="F17" s="43">
        <f>IF('Model Selector'!D19="x",1,0)</f>
        <v>0</v>
      </c>
      <c r="G17" s="43"/>
      <c r="H17" s="43"/>
      <c r="I17" s="43"/>
      <c r="J17" s="43">
        <f t="shared" si="1"/>
        <v>300</v>
      </c>
      <c r="K17" s="43">
        <v>300</v>
      </c>
      <c r="L17" s="55" t="s">
        <v>419</v>
      </c>
      <c r="M17" s="55" t="s">
        <v>423</v>
      </c>
      <c r="N17" s="55" t="s">
        <v>426</v>
      </c>
      <c r="O17" s="55" t="s">
        <v>431</v>
      </c>
      <c r="P17" s="55" t="s">
        <v>435</v>
      </c>
      <c r="Q17" s="43"/>
      <c r="R17" s="43"/>
      <c r="S17" s="43"/>
      <c r="T17" s="43"/>
      <c r="U17" s="43"/>
      <c r="V17" s="43"/>
      <c r="W17" s="43"/>
      <c r="X17" s="254" t="s">
        <v>742</v>
      </c>
      <c r="Y17" s="255" t="s">
        <v>786</v>
      </c>
      <c r="Z17" s="43"/>
      <c r="AA17" s="43"/>
      <c r="AB17" s="43"/>
      <c r="AC17" s="43"/>
      <c r="AD17" s="43"/>
      <c r="AE17" s="43"/>
      <c r="AF17" s="43"/>
      <c r="AG17" s="43"/>
      <c r="AH17"/>
      <c r="AI17"/>
    </row>
    <row r="18" spans="1:35" ht="15.5" x14ac:dyDescent="0.35">
      <c r="A18" s="43"/>
      <c r="B18" s="43"/>
      <c r="C18" s="43"/>
      <c r="D18" s="43" t="s">
        <v>367</v>
      </c>
      <c r="E18" s="67">
        <f>F8</f>
        <v>0</v>
      </c>
      <c r="F18" s="43">
        <f>IF('Model Selector'!D20="x",1,0)</f>
        <v>0</v>
      </c>
      <c r="G18" s="43"/>
      <c r="H18" s="43"/>
      <c r="I18" s="43"/>
      <c r="J18" s="43"/>
      <c r="K18" s="43"/>
      <c r="L18" s="43"/>
      <c r="M18" s="43"/>
      <c r="N18" s="43"/>
      <c r="O18" s="43"/>
      <c r="P18" s="43"/>
      <c r="Q18" s="43"/>
      <c r="R18" s="43"/>
      <c r="S18" s="43"/>
      <c r="T18" s="43"/>
      <c r="U18" s="43"/>
      <c r="V18" s="43"/>
      <c r="W18" s="43"/>
      <c r="X18" s="254" t="s">
        <v>742</v>
      </c>
      <c r="Y18" s="255" t="s">
        <v>786</v>
      </c>
      <c r="Z18" s="43"/>
      <c r="AA18" s="43"/>
      <c r="AB18" s="43"/>
      <c r="AC18" s="43"/>
      <c r="AD18" s="43"/>
      <c r="AE18" s="43"/>
      <c r="AF18" s="43"/>
      <c r="AG18" s="43"/>
      <c r="AH18"/>
      <c r="AI18"/>
    </row>
    <row r="19" spans="1:35" ht="15.5" x14ac:dyDescent="0.35">
      <c r="A19" s="43"/>
      <c r="B19" s="43"/>
      <c r="C19" s="43"/>
      <c r="D19" s="43" t="s">
        <v>368</v>
      </c>
      <c r="E19" s="67">
        <f>F8</f>
        <v>0</v>
      </c>
      <c r="F19" s="43">
        <f>IF('Model Selector'!D21="x",1,0)</f>
        <v>0</v>
      </c>
      <c r="G19" s="43"/>
      <c r="H19" s="43"/>
      <c r="I19" s="43"/>
      <c r="J19" s="43">
        <v>600</v>
      </c>
      <c r="K19" s="43" t="s">
        <v>256</v>
      </c>
      <c r="L19" s="55" t="s">
        <v>413</v>
      </c>
      <c r="M19" s="55" t="s">
        <v>253</v>
      </c>
      <c r="N19" s="55" t="s">
        <v>507</v>
      </c>
      <c r="O19" s="55" t="s">
        <v>385</v>
      </c>
      <c r="P19" s="43"/>
      <c r="Q19" s="43"/>
      <c r="R19" s="43"/>
      <c r="S19" s="43"/>
      <c r="T19" s="43"/>
      <c r="U19" s="43"/>
      <c r="V19" s="43"/>
      <c r="W19" s="43"/>
      <c r="X19" s="254" t="s">
        <v>743</v>
      </c>
      <c r="Y19" s="255" t="s">
        <v>798</v>
      </c>
      <c r="Z19" s="43"/>
      <c r="AA19" s="43"/>
      <c r="AB19" s="43"/>
      <c r="AC19" s="43"/>
      <c r="AD19" s="43"/>
      <c r="AE19" s="43"/>
      <c r="AF19" s="43"/>
      <c r="AG19" s="43"/>
      <c r="AH19"/>
      <c r="AI19"/>
    </row>
    <row r="20" spans="1:35" ht="15.5" x14ac:dyDescent="0.35">
      <c r="A20" s="43"/>
      <c r="B20" s="43"/>
      <c r="C20" s="43"/>
      <c r="D20" s="43"/>
      <c r="E20" s="43"/>
      <c r="F20" s="80">
        <f>IF('Model Selector'!D16="x",1,0)</f>
        <v>0</v>
      </c>
      <c r="G20" s="43"/>
      <c r="H20" s="43"/>
      <c r="I20" s="43"/>
      <c r="J20" s="43">
        <f>K20*$D$10*$F$11</f>
        <v>47</v>
      </c>
      <c r="K20" s="43">
        <v>47</v>
      </c>
      <c r="L20" s="20" t="s">
        <v>563</v>
      </c>
      <c r="M20" s="20" t="s">
        <v>457</v>
      </c>
      <c r="N20" s="20" t="s">
        <v>455</v>
      </c>
      <c r="O20" s="20" t="s">
        <v>456</v>
      </c>
      <c r="P20" s="43"/>
      <c r="Q20" s="43"/>
      <c r="R20" s="43"/>
      <c r="S20" s="43"/>
      <c r="T20" s="43"/>
      <c r="U20" s="43"/>
      <c r="V20" s="43"/>
      <c r="W20" s="43"/>
      <c r="X20" s="254" t="s">
        <v>743</v>
      </c>
      <c r="Y20" s="255" t="s">
        <v>798</v>
      </c>
      <c r="Z20" s="43"/>
      <c r="AA20" s="43"/>
      <c r="AB20" s="43"/>
      <c r="AC20" s="43"/>
      <c r="AD20" s="43"/>
      <c r="AE20" s="43"/>
      <c r="AF20" s="43"/>
      <c r="AG20" s="43"/>
      <c r="AH20"/>
      <c r="AI20"/>
    </row>
    <row r="21" spans="1:35" ht="15.5" x14ac:dyDescent="0.35">
      <c r="A21" s="43"/>
      <c r="B21" s="43"/>
      <c r="C21" s="43"/>
      <c r="D21" s="43"/>
      <c r="E21" s="43"/>
      <c r="F21" s="43">
        <f>SUM(F14:F19)</f>
        <v>0</v>
      </c>
      <c r="G21" s="43"/>
      <c r="H21" s="43"/>
      <c r="I21" s="43"/>
      <c r="J21" s="43">
        <f t="shared" ref="J21:J23" si="2">K21*$D$10*$F$11</f>
        <v>94</v>
      </c>
      <c r="K21" s="43">
        <v>94</v>
      </c>
      <c r="L21" s="20" t="s">
        <v>459</v>
      </c>
      <c r="M21" s="20" t="s">
        <v>461</v>
      </c>
      <c r="N21" s="20" t="s">
        <v>458</v>
      </c>
      <c r="O21" s="20" t="s">
        <v>460</v>
      </c>
      <c r="P21" s="43"/>
      <c r="Q21" s="43"/>
      <c r="R21" s="43"/>
      <c r="S21" s="43"/>
      <c r="T21" s="43"/>
      <c r="U21" s="43"/>
      <c r="V21" s="43"/>
      <c r="W21" s="43"/>
      <c r="X21" s="254" t="s">
        <v>745</v>
      </c>
      <c r="Y21" s="255" t="s">
        <v>794</v>
      </c>
      <c r="Z21" s="43"/>
      <c r="AA21" s="43"/>
      <c r="AB21" s="43"/>
      <c r="AC21" s="43"/>
      <c r="AD21" s="43"/>
      <c r="AE21" s="43"/>
      <c r="AF21" s="43"/>
      <c r="AG21" s="43"/>
      <c r="AH21"/>
      <c r="AI21"/>
    </row>
    <row r="22" spans="1:35" ht="15" customHeight="1" x14ac:dyDescent="0.4">
      <c r="A22" s="59"/>
      <c r="B22" s="43"/>
      <c r="C22" s="43"/>
      <c r="D22" s="43"/>
      <c r="E22" s="43"/>
      <c r="F22" s="80">
        <f>IF('Model Selector'!H8="Harmonic Mitigation",0,IF('Model Selector'!H9="Power Factor correction",1,IF('Model Selector'!H10="load Balancing",1,0)))</f>
        <v>0</v>
      </c>
      <c r="G22" s="43"/>
      <c r="H22" s="43"/>
      <c r="J22" s="43">
        <f t="shared" si="2"/>
        <v>157</v>
      </c>
      <c r="K22" s="53">
        <v>157</v>
      </c>
      <c r="L22" s="20" t="s">
        <v>564</v>
      </c>
      <c r="M22" s="20" t="s">
        <v>464</v>
      </c>
      <c r="N22" s="20" t="s">
        <v>462</v>
      </c>
      <c r="O22" s="20" t="s">
        <v>463</v>
      </c>
      <c r="P22" s="43"/>
      <c r="Q22" s="43"/>
      <c r="R22" s="43"/>
      <c r="S22" s="43"/>
      <c r="T22" s="43"/>
      <c r="U22" s="43"/>
      <c r="V22" s="43"/>
      <c r="W22" s="43"/>
      <c r="X22" s="254" t="s">
        <v>745</v>
      </c>
      <c r="Y22" s="255" t="s">
        <v>794</v>
      </c>
      <c r="Z22" s="43"/>
      <c r="AA22" s="43"/>
      <c r="AB22" s="43"/>
      <c r="AC22" s="43"/>
      <c r="AD22" s="43"/>
      <c r="AE22" s="43"/>
      <c r="AF22" s="43"/>
      <c r="AG22" s="43"/>
      <c r="AH22"/>
      <c r="AI22"/>
    </row>
    <row r="23" spans="1:35" ht="15.5" x14ac:dyDescent="0.35">
      <c r="A23" s="79" t="s">
        <v>307</v>
      </c>
      <c r="B23" s="43"/>
      <c r="C23" s="43"/>
      <c r="D23" s="43"/>
      <c r="E23" s="43"/>
      <c r="F23" s="43"/>
      <c r="G23" s="43"/>
      <c r="H23" s="43"/>
      <c r="I23" s="43"/>
      <c r="J23" s="43">
        <f t="shared" si="2"/>
        <v>235</v>
      </c>
      <c r="K23" s="43">
        <v>235</v>
      </c>
      <c r="L23" s="20" t="s">
        <v>565</v>
      </c>
      <c r="M23" s="20" t="s">
        <v>466</v>
      </c>
      <c r="N23" s="20" t="s">
        <v>566</v>
      </c>
      <c r="O23" s="20" t="s">
        <v>465</v>
      </c>
      <c r="P23" s="43"/>
      <c r="Q23" s="43"/>
      <c r="R23" s="43"/>
      <c r="S23" s="43"/>
      <c r="T23" s="43"/>
      <c r="U23" s="43"/>
      <c r="V23" s="43"/>
      <c r="W23" s="43"/>
      <c r="X23" s="254" t="s">
        <v>744</v>
      </c>
      <c r="Y23" s="255" t="s">
        <v>790</v>
      </c>
      <c r="Z23" s="43"/>
      <c r="AA23" s="43"/>
      <c r="AB23" s="43"/>
      <c r="AC23" s="43"/>
      <c r="AD23" s="43"/>
      <c r="AE23" s="43"/>
      <c r="AF23" s="43"/>
      <c r="AG23" s="43"/>
      <c r="AH23"/>
      <c r="AI23"/>
    </row>
    <row r="24" spans="1:35" ht="15.5" x14ac:dyDescent="0.35">
      <c r="A24" s="79" t="s">
        <v>304</v>
      </c>
      <c r="B24" s="43"/>
      <c r="C24" s="61"/>
      <c r="D24" s="61"/>
      <c r="E24" s="61"/>
      <c r="F24" s="61"/>
      <c r="G24" s="43"/>
      <c r="H24" s="43"/>
      <c r="I24" s="43"/>
      <c r="J24" s="43">
        <v>690</v>
      </c>
      <c r="K24" s="43" t="s">
        <v>256</v>
      </c>
      <c r="L24" s="55" t="s">
        <v>413</v>
      </c>
      <c r="M24" s="55" t="s">
        <v>253</v>
      </c>
      <c r="N24" s="55" t="s">
        <v>507</v>
      </c>
      <c r="O24" s="55" t="s">
        <v>385</v>
      </c>
      <c r="P24" s="43"/>
      <c r="Q24" s="43"/>
      <c r="R24" s="43"/>
      <c r="S24" s="43"/>
      <c r="T24" s="43"/>
      <c r="U24" s="43"/>
      <c r="V24" s="43"/>
      <c r="W24" s="43"/>
      <c r="X24" s="254" t="s">
        <v>744</v>
      </c>
      <c r="Y24" s="255" t="s">
        <v>790</v>
      </c>
      <c r="Z24" s="43"/>
      <c r="AA24" s="43"/>
      <c r="AB24" s="43"/>
      <c r="AC24" s="43"/>
      <c r="AD24" s="43"/>
      <c r="AE24" s="43"/>
      <c r="AF24" s="43"/>
      <c r="AG24" s="43"/>
      <c r="AH24"/>
      <c r="AI24"/>
    </row>
    <row r="25" spans="1:35" ht="15.5" x14ac:dyDescent="0.35">
      <c r="A25" s="62"/>
      <c r="B25" s="43"/>
      <c r="D25" s="61"/>
      <c r="E25" s="61"/>
      <c r="F25" s="61"/>
      <c r="G25" s="43"/>
      <c r="H25" s="43"/>
      <c r="I25" s="43"/>
      <c r="J25" s="43">
        <f t="shared" ref="J25:J28" si="3">K25*$D$10*$F$11</f>
        <v>40</v>
      </c>
      <c r="K25" s="43">
        <v>40</v>
      </c>
      <c r="L25" s="20" t="s">
        <v>468</v>
      </c>
      <c r="M25" s="20" t="s">
        <v>470</v>
      </c>
      <c r="N25" s="20" t="s">
        <v>467</v>
      </c>
      <c r="O25" s="20" t="s">
        <v>469</v>
      </c>
      <c r="P25" s="43"/>
      <c r="Q25" s="43"/>
      <c r="R25" s="43"/>
      <c r="S25" s="43"/>
      <c r="T25" s="43"/>
      <c r="U25" s="43"/>
      <c r="V25" s="43"/>
      <c r="W25" s="43"/>
      <c r="X25" s="83" t="s">
        <v>416</v>
      </c>
      <c r="Y25" s="83" t="s">
        <v>543</v>
      </c>
      <c r="Z25" s="43"/>
      <c r="AA25" s="43"/>
      <c r="AB25" s="43"/>
      <c r="AC25" s="43"/>
      <c r="AD25" s="43"/>
      <c r="AE25" s="43"/>
      <c r="AF25" s="43"/>
      <c r="AG25" s="43"/>
      <c r="AH25"/>
      <c r="AI25"/>
    </row>
    <row r="26" spans="1:35" ht="15.5" x14ac:dyDescent="0.35">
      <c r="A26" s="62"/>
      <c r="B26" s="43" t="s">
        <v>35</v>
      </c>
      <c r="D26" s="61"/>
      <c r="E26" s="61"/>
      <c r="F26" s="61"/>
      <c r="G26" s="43"/>
      <c r="H26" s="43"/>
      <c r="I26" s="43"/>
      <c r="J26" s="43">
        <f t="shared" si="3"/>
        <v>80</v>
      </c>
      <c r="K26" s="43">
        <v>80</v>
      </c>
      <c r="L26" s="20" t="s">
        <v>472</v>
      </c>
      <c r="M26" s="20" t="s">
        <v>474</v>
      </c>
      <c r="N26" s="20" t="s">
        <v>471</v>
      </c>
      <c r="O26" s="20" t="s">
        <v>473</v>
      </c>
      <c r="P26" s="43"/>
      <c r="Q26" s="43"/>
      <c r="R26" s="43"/>
      <c r="S26" s="43"/>
      <c r="T26" s="43"/>
      <c r="U26" s="43"/>
      <c r="V26" s="43"/>
      <c r="W26" s="43"/>
      <c r="X26" s="83" t="s">
        <v>436</v>
      </c>
      <c r="Y26" s="83" t="s">
        <v>547</v>
      </c>
      <c r="Z26" s="43"/>
      <c r="AA26" s="43"/>
      <c r="AB26" s="43"/>
      <c r="AC26" s="43"/>
      <c r="AD26" s="43"/>
      <c r="AE26" s="43"/>
      <c r="AF26" s="43"/>
      <c r="AG26" s="43"/>
      <c r="AH26"/>
      <c r="AI26"/>
    </row>
    <row r="27" spans="1:35" x14ac:dyDescent="0.25">
      <c r="A27" s="47"/>
      <c r="B27" s="43"/>
      <c r="C27" s="43"/>
      <c r="D27" s="43"/>
      <c r="E27" s="43"/>
      <c r="F27" s="43"/>
      <c r="G27" s="43"/>
      <c r="H27" s="43"/>
      <c r="J27" s="43">
        <f t="shared" si="3"/>
        <v>133</v>
      </c>
      <c r="K27" s="53">
        <v>133</v>
      </c>
      <c r="L27" s="20" t="s">
        <v>476</v>
      </c>
      <c r="M27" s="15" t="s">
        <v>478</v>
      </c>
      <c r="N27" s="20" t="s">
        <v>475</v>
      </c>
      <c r="O27" s="20" t="s">
        <v>477</v>
      </c>
      <c r="P27" s="43"/>
      <c r="Q27" s="43"/>
      <c r="R27" s="43"/>
      <c r="S27" s="43"/>
      <c r="T27" s="43"/>
      <c r="U27" s="43"/>
      <c r="V27" s="43"/>
      <c r="W27" s="43"/>
      <c r="X27" s="83" t="s">
        <v>437</v>
      </c>
      <c r="Y27" s="83" t="s">
        <v>555</v>
      </c>
      <c r="Z27" s="43"/>
      <c r="AA27" s="43"/>
      <c r="AB27" s="43"/>
      <c r="AC27" s="43"/>
      <c r="AD27" s="43"/>
      <c r="AE27" s="43"/>
      <c r="AF27" s="43"/>
      <c r="AG27" s="43"/>
      <c r="AH27"/>
      <c r="AI27"/>
    </row>
    <row r="28" spans="1:35" ht="15.5" x14ac:dyDescent="0.35">
      <c r="A28" s="58"/>
      <c r="B28" s="43"/>
      <c r="C28" s="43"/>
      <c r="D28" s="43"/>
      <c r="E28" s="43"/>
      <c r="F28" s="43"/>
      <c r="G28" s="43"/>
      <c r="H28" s="43"/>
      <c r="I28" s="43"/>
      <c r="J28" s="43">
        <f t="shared" si="3"/>
        <v>200</v>
      </c>
      <c r="K28" s="43">
        <f>300*460/690</f>
        <v>200</v>
      </c>
      <c r="L28" s="20" t="s">
        <v>570</v>
      </c>
      <c r="M28" s="20" t="s">
        <v>480</v>
      </c>
      <c r="N28" s="20" t="s">
        <v>575</v>
      </c>
      <c r="O28" s="20" t="s">
        <v>479</v>
      </c>
      <c r="P28" s="43"/>
      <c r="Q28" s="43"/>
      <c r="R28" s="43"/>
      <c r="S28" s="43"/>
      <c r="T28" s="43"/>
      <c r="U28" s="43"/>
      <c r="V28" s="43"/>
      <c r="W28" s="43"/>
      <c r="X28" s="83" t="s">
        <v>439</v>
      </c>
      <c r="Y28" s="83" t="s">
        <v>559</v>
      </c>
      <c r="Z28" s="43"/>
      <c r="AA28" s="43"/>
      <c r="AB28" s="43"/>
      <c r="AC28" s="43"/>
      <c r="AD28" s="43"/>
      <c r="AE28" s="43"/>
      <c r="AF28" s="43"/>
      <c r="AG28" s="43"/>
      <c r="AH28"/>
      <c r="AI28"/>
    </row>
    <row r="29" spans="1:35" ht="15.5" x14ac:dyDescent="0.35">
      <c r="A29" s="58"/>
      <c r="B29" s="43"/>
      <c r="C29" s="43"/>
      <c r="D29" s="43"/>
      <c r="E29" s="43"/>
      <c r="F29" s="43"/>
      <c r="G29" s="43"/>
      <c r="H29" s="43"/>
      <c r="I29" s="43"/>
      <c r="J29" s="43"/>
      <c r="K29" s="43"/>
      <c r="L29" s="21"/>
      <c r="M29" s="21"/>
      <c r="N29" s="21"/>
      <c r="O29" s="21"/>
      <c r="P29" s="43"/>
      <c r="Q29" s="43"/>
      <c r="R29" s="43"/>
      <c r="S29" s="43"/>
      <c r="T29" s="43"/>
      <c r="U29" s="43"/>
      <c r="V29" s="43"/>
      <c r="W29" s="43"/>
      <c r="X29" s="83" t="s">
        <v>438</v>
      </c>
      <c r="Y29" s="83" t="s">
        <v>551</v>
      </c>
      <c r="Z29" s="43"/>
      <c r="AA29" s="43"/>
      <c r="AB29" s="43"/>
      <c r="AC29" s="43"/>
      <c r="AD29" s="43"/>
      <c r="AE29" s="43"/>
      <c r="AF29" s="43"/>
      <c r="AG29" s="43"/>
      <c r="AH29"/>
      <c r="AI29"/>
    </row>
    <row r="30" spans="1:35" ht="15.5" x14ac:dyDescent="0.35">
      <c r="A30" s="58"/>
      <c r="B30" s="43"/>
      <c r="C30" s="43"/>
      <c r="D30" s="43"/>
      <c r="E30" s="43"/>
      <c r="F30" s="43"/>
      <c r="G30" s="43"/>
      <c r="H30" s="43"/>
      <c r="I30" s="43"/>
      <c r="J30" s="43">
        <v>240</v>
      </c>
      <c r="K30" s="43" t="s">
        <v>257</v>
      </c>
      <c r="L30" s="55" t="s">
        <v>595</v>
      </c>
      <c r="M30" s="55" t="s">
        <v>413</v>
      </c>
      <c r="N30" s="55" t="s">
        <v>253</v>
      </c>
      <c r="O30" s="55" t="s">
        <v>507</v>
      </c>
      <c r="P30" s="55" t="s">
        <v>385</v>
      </c>
      <c r="Q30" s="43"/>
      <c r="R30" s="43"/>
      <c r="S30" s="43"/>
      <c r="T30" s="43"/>
      <c r="U30" s="43"/>
      <c r="V30" s="43"/>
      <c r="W30" s="43"/>
      <c r="X30" s="20" t="s">
        <v>498</v>
      </c>
      <c r="Y30" s="15" t="s">
        <v>579</v>
      </c>
      <c r="Z30" s="43"/>
      <c r="AA30" s="43"/>
      <c r="AB30" s="43"/>
      <c r="AC30" s="43"/>
      <c r="AD30" s="43"/>
      <c r="AE30" s="43"/>
      <c r="AF30" s="43"/>
      <c r="AG30" s="43"/>
      <c r="AH30"/>
      <c r="AI30"/>
    </row>
    <row r="31" spans="1:35" ht="15.5" x14ac:dyDescent="0.35">
      <c r="A31" s="58"/>
      <c r="B31" s="43"/>
      <c r="C31" s="43"/>
      <c r="D31" s="43"/>
      <c r="E31" s="43"/>
      <c r="F31" s="43"/>
      <c r="G31" s="43"/>
      <c r="H31" s="43"/>
      <c r="I31" s="43"/>
      <c r="J31" s="43">
        <f>IF(S$56="IP00",$D$11,IF(S$56="IP20",$D$11,$F$11))*$D$10*K31</f>
        <v>60</v>
      </c>
      <c r="K31" s="43">
        <v>60</v>
      </c>
      <c r="L31" s="83" t="s">
        <v>741</v>
      </c>
      <c r="M31" s="83" t="s">
        <v>742</v>
      </c>
      <c r="N31" s="83" t="s">
        <v>743</v>
      </c>
      <c r="O31" s="83" t="s">
        <v>744</v>
      </c>
      <c r="P31" s="83" t="s">
        <v>745</v>
      </c>
      <c r="Q31" s="43"/>
      <c r="R31" s="43"/>
      <c r="S31" s="43"/>
      <c r="T31" s="43"/>
      <c r="U31" s="43"/>
      <c r="V31" s="43"/>
      <c r="W31" s="43"/>
      <c r="X31" s="20" t="s">
        <v>500</v>
      </c>
      <c r="Y31" s="20" t="s">
        <v>588</v>
      </c>
      <c r="Z31" s="43"/>
      <c r="AA31" s="43"/>
      <c r="AB31" s="43"/>
      <c r="AC31" s="43"/>
      <c r="AD31" s="43"/>
      <c r="AE31" s="43"/>
      <c r="AF31" s="43"/>
      <c r="AG31" s="43"/>
      <c r="AH31"/>
      <c r="AI31"/>
    </row>
    <row r="32" spans="1:35" ht="15.5" x14ac:dyDescent="0.35">
      <c r="A32" s="58"/>
      <c r="B32" s="43"/>
      <c r="C32" s="43"/>
      <c r="D32" s="43"/>
      <c r="E32" s="43"/>
      <c r="F32" s="43"/>
      <c r="G32" s="43"/>
      <c r="H32" s="43"/>
      <c r="I32" s="43"/>
      <c r="J32" s="43">
        <f t="shared" ref="J32:J34" si="4">IF(S$56="IP00",$D$11,IF(S$56="IP20",$D$11,$F$11))*$D$10*K32</f>
        <v>120</v>
      </c>
      <c r="K32" s="43">
        <v>120</v>
      </c>
      <c r="L32" s="83" t="s">
        <v>746</v>
      </c>
      <c r="M32" s="83" t="s">
        <v>747</v>
      </c>
      <c r="N32" s="83" t="s">
        <v>748</v>
      </c>
      <c r="O32" s="83" t="s">
        <v>749</v>
      </c>
      <c r="P32" s="83" t="s">
        <v>750</v>
      </c>
      <c r="Q32" s="43"/>
      <c r="R32" s="43"/>
      <c r="S32" s="43"/>
      <c r="T32" s="43"/>
      <c r="U32" s="43"/>
      <c r="V32" s="43"/>
      <c r="W32" s="43"/>
      <c r="X32" s="20" t="s">
        <v>499</v>
      </c>
      <c r="Y32" s="20" t="s">
        <v>592</v>
      </c>
      <c r="Z32" s="43"/>
      <c r="AA32" s="43"/>
      <c r="AB32" s="43"/>
      <c r="AC32" s="43"/>
      <c r="AD32" s="43"/>
      <c r="AE32" s="43"/>
      <c r="AF32" s="43"/>
      <c r="AG32" s="43"/>
      <c r="AH32"/>
      <c r="AI32"/>
    </row>
    <row r="33" spans="1:35" ht="15.5" x14ac:dyDescent="0.35">
      <c r="A33" s="58"/>
      <c r="B33" s="43"/>
      <c r="C33" s="43"/>
      <c r="D33" s="43"/>
      <c r="E33" s="43"/>
      <c r="F33" s="43"/>
      <c r="G33" s="43"/>
      <c r="H33" s="43"/>
      <c r="I33" s="43"/>
      <c r="J33" s="43">
        <f t="shared" si="4"/>
        <v>200</v>
      </c>
      <c r="K33" s="53">
        <v>200</v>
      </c>
      <c r="L33" s="83" t="s">
        <v>751</v>
      </c>
      <c r="M33" s="83" t="s">
        <v>752</v>
      </c>
      <c r="N33" s="83" t="s">
        <v>753</v>
      </c>
      <c r="O33" s="83" t="s">
        <v>754</v>
      </c>
      <c r="P33" s="83" t="s">
        <v>755</v>
      </c>
      <c r="Q33" s="43"/>
      <c r="R33" s="43"/>
      <c r="S33" s="43"/>
      <c r="T33" s="43"/>
      <c r="U33" s="43"/>
      <c r="V33" s="43"/>
      <c r="W33" s="43"/>
      <c r="X33" s="20" t="s">
        <v>497</v>
      </c>
      <c r="Y33" s="20" t="s">
        <v>583</v>
      </c>
      <c r="Z33" s="43"/>
      <c r="AA33" s="43"/>
      <c r="AB33" s="43"/>
      <c r="AC33" s="43"/>
      <c r="AD33" s="43"/>
      <c r="AE33" s="43"/>
      <c r="AF33" s="43"/>
      <c r="AG33" s="43"/>
      <c r="AH33"/>
      <c r="AI33"/>
    </row>
    <row r="34" spans="1:35" ht="15.5" x14ac:dyDescent="0.35">
      <c r="A34" s="58"/>
      <c r="B34" s="43"/>
      <c r="C34" s="43"/>
      <c r="D34" s="43"/>
      <c r="E34" s="43"/>
      <c r="F34" s="43"/>
      <c r="G34" s="43"/>
      <c r="H34" s="43"/>
      <c r="I34" s="43"/>
      <c r="J34" s="43">
        <f t="shared" si="4"/>
        <v>300</v>
      </c>
      <c r="K34" s="43">
        <v>300</v>
      </c>
      <c r="L34" s="83" t="s">
        <v>756</v>
      </c>
      <c r="M34" s="83" t="s">
        <v>757</v>
      </c>
      <c r="N34" s="83" t="s">
        <v>758</v>
      </c>
      <c r="O34" s="83" t="s">
        <v>759</v>
      </c>
      <c r="P34" s="83" t="s">
        <v>760</v>
      </c>
      <c r="Q34" s="43"/>
      <c r="R34" s="43"/>
      <c r="S34" s="43"/>
      <c r="T34" s="43"/>
      <c r="U34" s="43"/>
      <c r="V34" s="43"/>
      <c r="W34" s="43"/>
      <c r="X34" s="83" t="s">
        <v>485</v>
      </c>
      <c r="Y34" s="83" t="s">
        <v>659</v>
      </c>
      <c r="Z34" s="43"/>
      <c r="AA34" s="43"/>
      <c r="AB34" s="43"/>
      <c r="AC34" s="43"/>
      <c r="AD34" s="43"/>
      <c r="AE34" s="43"/>
      <c r="AF34" s="43"/>
      <c r="AG34" s="43"/>
      <c r="AH34"/>
      <c r="AI34"/>
    </row>
    <row r="35" spans="1:35" ht="15.5" x14ac:dyDescent="0.35">
      <c r="A35" s="62"/>
      <c r="B35" s="43"/>
      <c r="C35" s="61"/>
      <c r="D35" s="61"/>
      <c r="E35" s="61"/>
      <c r="F35" s="61"/>
      <c r="G35" s="43"/>
      <c r="H35" s="43"/>
      <c r="I35" s="43"/>
      <c r="J35" s="43">
        <v>480</v>
      </c>
      <c r="K35" s="43" t="s">
        <v>257</v>
      </c>
      <c r="L35" s="55" t="s">
        <v>595</v>
      </c>
      <c r="M35" s="55" t="s">
        <v>413</v>
      </c>
      <c r="N35" s="55" t="s">
        <v>253</v>
      </c>
      <c r="O35" s="55" t="s">
        <v>507</v>
      </c>
      <c r="P35" s="55" t="s">
        <v>385</v>
      </c>
      <c r="Q35" s="43"/>
      <c r="R35" s="43"/>
      <c r="S35" s="43"/>
      <c r="T35" s="43"/>
      <c r="U35" s="43"/>
      <c r="V35" s="43"/>
      <c r="W35" s="43"/>
      <c r="X35" s="83" t="s">
        <v>487</v>
      </c>
      <c r="Y35" s="84" t="s">
        <v>660</v>
      </c>
      <c r="Z35" s="43"/>
      <c r="AA35" s="43"/>
      <c r="AB35" s="43"/>
      <c r="AC35" s="43"/>
      <c r="AD35" s="43"/>
      <c r="AE35" s="43"/>
      <c r="AF35" s="43"/>
      <c r="AG35" s="43"/>
      <c r="AH35"/>
      <c r="AI35"/>
    </row>
    <row r="36" spans="1:35" ht="15.5" x14ac:dyDescent="0.35">
      <c r="A36" s="62"/>
      <c r="B36" s="43"/>
      <c r="C36" s="61"/>
      <c r="D36" s="61"/>
      <c r="E36" s="61"/>
      <c r="F36" s="61"/>
      <c r="G36" s="43"/>
      <c r="H36" s="43"/>
      <c r="I36" s="43"/>
      <c r="J36" s="43">
        <f>IF(S$56="IP00",$D$11,IF(S$56="IP20",$D$11,$F$11))*$D$10*K36</f>
        <v>60</v>
      </c>
      <c r="K36" s="43">
        <v>60</v>
      </c>
      <c r="L36" s="83" t="s">
        <v>416</v>
      </c>
      <c r="M36" s="83" t="s">
        <v>436</v>
      </c>
      <c r="N36" s="83" t="s">
        <v>437</v>
      </c>
      <c r="O36" s="83" t="s">
        <v>438</v>
      </c>
      <c r="P36" s="83" t="s">
        <v>439</v>
      </c>
      <c r="Q36" s="43"/>
      <c r="R36" s="43"/>
      <c r="S36" s="43"/>
      <c r="T36" s="43"/>
      <c r="U36" s="43"/>
      <c r="V36" s="43"/>
      <c r="W36" s="43"/>
      <c r="X36" s="83" t="s">
        <v>486</v>
      </c>
      <c r="Y36" s="84" t="s">
        <v>661</v>
      </c>
      <c r="Z36" s="43"/>
      <c r="AA36" s="43"/>
      <c r="AB36" s="43"/>
      <c r="AC36" s="43"/>
      <c r="AD36" s="43"/>
      <c r="AE36" s="43"/>
      <c r="AF36" s="43"/>
      <c r="AG36" s="43"/>
      <c r="AH36"/>
      <c r="AI36"/>
    </row>
    <row r="37" spans="1:35" x14ac:dyDescent="0.25">
      <c r="A37" s="47"/>
      <c r="B37" s="43"/>
      <c r="C37" s="43"/>
      <c r="D37" s="43"/>
      <c r="E37" s="43"/>
      <c r="F37" s="43"/>
      <c r="G37" s="43"/>
      <c r="H37" s="43"/>
      <c r="I37" s="43"/>
      <c r="J37" s="43">
        <f t="shared" ref="J37:J39" si="5">IF(S$56="IP00",$D$11,IF(S$56="IP20",$D$11,$F$11))*$D$10*K37</f>
        <v>120</v>
      </c>
      <c r="K37" s="43">
        <v>120</v>
      </c>
      <c r="L37" s="83" t="s">
        <v>440</v>
      </c>
      <c r="M37" s="83" t="s">
        <v>441</v>
      </c>
      <c r="N37" s="83" t="s">
        <v>442</v>
      </c>
      <c r="O37" s="83" t="s">
        <v>443</v>
      </c>
      <c r="P37" s="83" t="s">
        <v>444</v>
      </c>
      <c r="Q37" s="43"/>
      <c r="R37" s="43"/>
      <c r="S37" s="43"/>
      <c r="T37" s="43"/>
      <c r="U37" s="43"/>
      <c r="V37" s="43"/>
      <c r="W37" s="43"/>
      <c r="X37" s="83" t="s">
        <v>484</v>
      </c>
      <c r="Y37" s="84" t="s">
        <v>662</v>
      </c>
      <c r="Z37" s="43"/>
      <c r="AA37" s="43"/>
      <c r="AB37" s="43"/>
      <c r="AC37" s="43"/>
      <c r="AD37" s="43"/>
      <c r="AE37" s="43"/>
      <c r="AF37" s="43"/>
      <c r="AG37" s="43"/>
      <c r="AH37"/>
      <c r="AI37"/>
    </row>
    <row r="38" spans="1:35" ht="15.5" x14ac:dyDescent="0.35">
      <c r="A38" s="47"/>
      <c r="B38" s="43"/>
      <c r="C38" s="43"/>
      <c r="D38" s="43"/>
      <c r="E38" s="43"/>
      <c r="F38" s="43"/>
      <c r="G38" s="43"/>
      <c r="H38" s="43"/>
      <c r="J38" s="43">
        <f t="shared" si="5"/>
        <v>200</v>
      </c>
      <c r="K38" s="53">
        <v>200</v>
      </c>
      <c r="L38" s="83" t="s">
        <v>445</v>
      </c>
      <c r="M38" s="83" t="s">
        <v>446</v>
      </c>
      <c r="N38" s="83" t="s">
        <v>447</v>
      </c>
      <c r="O38" s="83" t="s">
        <v>448</v>
      </c>
      <c r="P38" s="83" t="s">
        <v>449</v>
      </c>
      <c r="Q38" s="43"/>
      <c r="R38" s="43"/>
      <c r="S38" s="43"/>
      <c r="T38" s="43"/>
      <c r="U38" s="43"/>
      <c r="V38" s="43"/>
      <c r="W38" s="43"/>
      <c r="X38" s="254" t="s">
        <v>746</v>
      </c>
      <c r="Y38" s="255" t="s">
        <v>783</v>
      </c>
      <c r="Z38" s="43"/>
      <c r="AA38" s="43"/>
      <c r="AB38" s="43"/>
      <c r="AC38" s="43"/>
      <c r="AD38" s="43"/>
      <c r="AE38" s="43"/>
      <c r="AF38" s="43"/>
      <c r="AG38" s="43"/>
      <c r="AH38"/>
      <c r="AI38"/>
    </row>
    <row r="39" spans="1:35" ht="15.5" x14ac:dyDescent="0.35">
      <c r="A39" s="62"/>
      <c r="B39" s="43"/>
      <c r="C39" s="61"/>
      <c r="D39" s="61"/>
      <c r="E39" s="61"/>
      <c r="F39" s="61"/>
      <c r="G39" s="43"/>
      <c r="H39" s="43"/>
      <c r="I39" s="43"/>
      <c r="J39" s="43">
        <f t="shared" si="5"/>
        <v>300</v>
      </c>
      <c r="K39" s="43">
        <v>300</v>
      </c>
      <c r="L39" s="83" t="s">
        <v>450</v>
      </c>
      <c r="M39" s="83" t="s">
        <v>451</v>
      </c>
      <c r="N39" s="83" t="s">
        <v>452</v>
      </c>
      <c r="O39" s="83" t="s">
        <v>453</v>
      </c>
      <c r="P39" s="83" t="s">
        <v>454</v>
      </c>
      <c r="Q39" s="43"/>
      <c r="R39" s="43"/>
      <c r="S39" s="43"/>
      <c r="T39" s="43"/>
      <c r="U39" s="43"/>
      <c r="V39" s="43"/>
      <c r="W39" s="43"/>
      <c r="X39" s="254" t="s">
        <v>746</v>
      </c>
      <c r="Y39" s="255" t="s">
        <v>783</v>
      </c>
      <c r="Z39" s="43"/>
      <c r="AA39" s="43"/>
      <c r="AB39" s="43"/>
      <c r="AC39" s="43"/>
      <c r="AD39" s="43"/>
      <c r="AE39" s="43"/>
      <c r="AF39" s="43"/>
      <c r="AG39" s="43"/>
      <c r="AH39"/>
      <c r="AI39"/>
    </row>
    <row r="40" spans="1:35" ht="15.5" x14ac:dyDescent="0.35">
      <c r="A40" s="62"/>
      <c r="B40" s="43"/>
      <c r="C40" s="61"/>
      <c r="D40" s="61"/>
      <c r="E40" s="61"/>
      <c r="F40" s="61"/>
      <c r="G40" s="43"/>
      <c r="H40" s="43"/>
      <c r="I40" s="43"/>
      <c r="J40" s="43"/>
      <c r="K40" s="43"/>
      <c r="L40" s="43"/>
      <c r="M40" s="43"/>
      <c r="N40" s="43"/>
      <c r="O40" s="43"/>
      <c r="P40" s="43"/>
      <c r="Q40" s="43"/>
      <c r="R40" s="43"/>
      <c r="S40" s="43"/>
      <c r="T40" s="43"/>
      <c r="U40" s="43"/>
      <c r="V40" s="43"/>
      <c r="W40" s="43"/>
      <c r="X40" s="254" t="s">
        <v>747</v>
      </c>
      <c r="Y40" s="255" t="s">
        <v>787</v>
      </c>
      <c r="Z40" s="43"/>
      <c r="AA40" s="43"/>
      <c r="AB40" s="43"/>
      <c r="AC40" s="43"/>
      <c r="AD40" s="43"/>
      <c r="AE40" s="43"/>
      <c r="AF40" s="43"/>
      <c r="AG40" s="43"/>
      <c r="AH40"/>
      <c r="AI40"/>
    </row>
    <row r="41" spans="1:35" ht="15.5" x14ac:dyDescent="0.35">
      <c r="A41" s="62"/>
      <c r="B41" s="43"/>
      <c r="C41" s="61"/>
      <c r="D41" s="61"/>
      <c r="E41" s="61"/>
      <c r="F41" s="61"/>
      <c r="G41" s="43"/>
      <c r="H41" s="43"/>
      <c r="I41" s="43"/>
      <c r="N41" s="55"/>
      <c r="O41" s="55"/>
      <c r="P41" s="43"/>
      <c r="Q41" s="43"/>
      <c r="R41" s="43"/>
      <c r="S41" s="43"/>
      <c r="T41" s="43"/>
      <c r="U41" s="43"/>
      <c r="V41" s="43"/>
      <c r="W41" s="43"/>
      <c r="X41" s="254" t="s">
        <v>747</v>
      </c>
      <c r="Y41" s="255" t="s">
        <v>787</v>
      </c>
      <c r="Z41" s="43"/>
      <c r="AA41" s="43"/>
      <c r="AB41" s="43"/>
      <c r="AC41" s="43"/>
      <c r="AD41" s="43"/>
      <c r="AE41" s="43"/>
      <c r="AF41" s="43"/>
      <c r="AG41" s="43"/>
      <c r="AH41"/>
      <c r="AI41"/>
    </row>
    <row r="42" spans="1:35" ht="15.5" x14ac:dyDescent="0.35">
      <c r="A42" s="62"/>
      <c r="B42" s="43"/>
      <c r="C42" s="61"/>
      <c r="D42" s="61"/>
      <c r="E42" s="61"/>
      <c r="F42" s="61"/>
      <c r="G42" s="43"/>
      <c r="H42" s="43"/>
      <c r="I42" s="43"/>
      <c r="J42" s="43">
        <v>600</v>
      </c>
      <c r="K42" s="43" t="s">
        <v>257</v>
      </c>
      <c r="L42" s="55" t="s">
        <v>413</v>
      </c>
      <c r="M42" s="55" t="s">
        <v>253</v>
      </c>
      <c r="N42" s="55" t="s">
        <v>507</v>
      </c>
      <c r="O42" s="55" t="s">
        <v>385</v>
      </c>
      <c r="P42" s="43"/>
      <c r="Q42" s="43"/>
      <c r="R42" s="43"/>
      <c r="S42" s="43"/>
      <c r="T42" s="43"/>
      <c r="U42" s="43"/>
      <c r="V42" s="43"/>
      <c r="W42" s="43"/>
      <c r="X42" s="254" t="s">
        <v>748</v>
      </c>
      <c r="Y42" s="255" t="s">
        <v>799</v>
      </c>
      <c r="Z42" s="43"/>
      <c r="AA42" s="43"/>
      <c r="AB42" s="43"/>
      <c r="AC42" s="43"/>
      <c r="AD42" s="43"/>
      <c r="AE42" s="43"/>
      <c r="AF42" s="43"/>
      <c r="AG42" s="43"/>
      <c r="AH42"/>
      <c r="AI42"/>
    </row>
    <row r="43" spans="1:35" ht="15.5" x14ac:dyDescent="0.35">
      <c r="A43" s="43"/>
      <c r="B43" s="43"/>
      <c r="C43" s="43"/>
      <c r="D43" s="43"/>
      <c r="E43" s="43"/>
      <c r="F43" s="43"/>
      <c r="G43" s="43"/>
      <c r="H43" s="43"/>
      <c r="I43" s="43"/>
      <c r="J43" s="43">
        <f t="shared" ref="J43:J46" si="6">K43*$D$10*$F$11</f>
        <v>47</v>
      </c>
      <c r="K43" s="43">
        <v>47</v>
      </c>
      <c r="L43" s="83" t="s">
        <v>513</v>
      </c>
      <c r="M43" s="83" t="s">
        <v>483</v>
      </c>
      <c r="N43" s="83" t="s">
        <v>481</v>
      </c>
      <c r="O43" s="83" t="s">
        <v>482</v>
      </c>
      <c r="P43" s="43"/>
      <c r="Q43" s="43"/>
      <c r="R43" s="43"/>
      <c r="S43" s="43"/>
      <c r="T43" s="43"/>
      <c r="U43" s="43"/>
      <c r="V43" s="43"/>
      <c r="W43" s="43"/>
      <c r="X43" s="254" t="s">
        <v>748</v>
      </c>
      <c r="Y43" s="255" t="s">
        <v>799</v>
      </c>
      <c r="Z43" s="43"/>
      <c r="AA43" s="43"/>
      <c r="AB43" s="43"/>
      <c r="AC43" s="43"/>
      <c r="AD43" s="43"/>
      <c r="AE43" s="43"/>
      <c r="AF43" s="43"/>
      <c r="AG43" s="43"/>
      <c r="AH43"/>
      <c r="AI43"/>
    </row>
    <row r="44" spans="1:35" ht="15.5" x14ac:dyDescent="0.35">
      <c r="A44" s="47"/>
      <c r="B44" s="43"/>
      <c r="C44" s="43"/>
      <c r="D44" s="43"/>
      <c r="E44" s="43"/>
      <c r="F44" s="43"/>
      <c r="G44" s="43"/>
      <c r="H44" s="43"/>
      <c r="I44" s="43"/>
      <c r="J44" s="43">
        <f t="shared" si="6"/>
        <v>94</v>
      </c>
      <c r="K44" s="43">
        <v>94</v>
      </c>
      <c r="L44" s="83" t="s">
        <v>485</v>
      </c>
      <c r="M44" s="83" t="s">
        <v>487</v>
      </c>
      <c r="N44" s="83" t="s">
        <v>484</v>
      </c>
      <c r="O44" s="83" t="s">
        <v>486</v>
      </c>
      <c r="P44" s="43"/>
      <c r="Q44" s="43"/>
      <c r="R44" s="43"/>
      <c r="S44" s="43"/>
      <c r="T44" s="43"/>
      <c r="U44" s="43"/>
      <c r="V44" s="43"/>
      <c r="W44" s="43"/>
      <c r="X44" s="254" t="s">
        <v>750</v>
      </c>
      <c r="Y44" s="255" t="s">
        <v>795</v>
      </c>
      <c r="Z44" s="43"/>
      <c r="AA44" s="43"/>
      <c r="AB44" s="43"/>
      <c r="AC44" s="43"/>
      <c r="AD44" s="43"/>
      <c r="AE44" s="43"/>
      <c r="AF44" s="43"/>
      <c r="AG44" s="43"/>
      <c r="AH44"/>
      <c r="AI44"/>
    </row>
    <row r="45" spans="1:35" ht="15.5" x14ac:dyDescent="0.35">
      <c r="A45" s="47"/>
      <c r="B45" s="43"/>
      <c r="C45" s="43"/>
      <c r="D45" s="43"/>
      <c r="E45" s="43"/>
      <c r="F45" s="43"/>
      <c r="G45" s="43"/>
      <c r="H45" s="43"/>
      <c r="J45" s="43">
        <f t="shared" si="6"/>
        <v>157</v>
      </c>
      <c r="K45" s="53">
        <v>157</v>
      </c>
      <c r="L45" s="83" t="s">
        <v>514</v>
      </c>
      <c r="M45" s="83" t="s">
        <v>490</v>
      </c>
      <c r="N45" s="83" t="s">
        <v>488</v>
      </c>
      <c r="O45" s="83" t="s">
        <v>489</v>
      </c>
      <c r="P45" s="43"/>
      <c r="Q45" s="43"/>
      <c r="R45" s="43"/>
      <c r="S45" s="43"/>
      <c r="T45" s="43"/>
      <c r="U45" s="43"/>
      <c r="V45" s="43"/>
      <c r="W45" s="43"/>
      <c r="X45" s="254" t="s">
        <v>750</v>
      </c>
      <c r="Y45" s="255" t="s">
        <v>795</v>
      </c>
      <c r="Z45" s="43"/>
      <c r="AA45" s="43"/>
      <c r="AB45" s="43"/>
      <c r="AC45" s="43"/>
      <c r="AD45" s="43"/>
      <c r="AE45" s="43"/>
      <c r="AF45" s="43"/>
      <c r="AG45" s="43"/>
      <c r="AH45"/>
      <c r="AI45"/>
    </row>
    <row r="46" spans="1:35" ht="15.5" x14ac:dyDescent="0.35">
      <c r="A46" s="63"/>
      <c r="B46" s="64"/>
      <c r="C46" s="64"/>
      <c r="D46" s="64"/>
      <c r="E46" s="64"/>
      <c r="F46" s="43"/>
      <c r="G46" s="43"/>
      <c r="H46" s="43"/>
      <c r="I46" s="43"/>
      <c r="J46" s="43">
        <f t="shared" si="6"/>
        <v>235</v>
      </c>
      <c r="K46" s="43">
        <v>235</v>
      </c>
      <c r="L46" s="83" t="s">
        <v>516</v>
      </c>
      <c r="M46" s="83" t="s">
        <v>492</v>
      </c>
      <c r="N46" s="83" t="s">
        <v>577</v>
      </c>
      <c r="O46" s="83" t="s">
        <v>491</v>
      </c>
      <c r="P46" s="43"/>
      <c r="Q46" s="43"/>
      <c r="R46" s="43"/>
      <c r="S46" s="43"/>
      <c r="T46" s="43"/>
      <c r="U46" s="43"/>
      <c r="V46" s="43"/>
      <c r="W46" s="43"/>
      <c r="X46" s="254" t="s">
        <v>749</v>
      </c>
      <c r="Y46" s="255" t="s">
        <v>791</v>
      </c>
      <c r="Z46" s="43"/>
      <c r="AA46" s="43"/>
      <c r="AB46" s="43"/>
      <c r="AC46" s="43"/>
      <c r="AD46" s="43"/>
      <c r="AE46" s="43"/>
      <c r="AF46" s="43"/>
      <c r="AG46" s="43"/>
      <c r="AH46"/>
      <c r="AI46"/>
    </row>
    <row r="47" spans="1:35" ht="15.5" x14ac:dyDescent="0.35">
      <c r="A47" s="58"/>
      <c r="B47" s="62"/>
      <c r="C47" s="61" t="s">
        <v>599</v>
      </c>
      <c r="D47" s="62"/>
      <c r="E47" s="62"/>
      <c r="F47" s="43"/>
      <c r="G47" s="43"/>
      <c r="H47" s="43"/>
      <c r="I47" s="43"/>
      <c r="J47" s="43"/>
      <c r="K47" s="43"/>
      <c r="L47" s="43"/>
      <c r="M47" s="43"/>
      <c r="N47" s="43"/>
      <c r="O47" s="43"/>
      <c r="P47" s="43"/>
      <c r="Q47" s="43"/>
      <c r="R47" s="43"/>
      <c r="S47" s="43"/>
      <c r="T47" s="43"/>
      <c r="U47" s="43"/>
      <c r="V47" s="43"/>
      <c r="W47" s="43"/>
      <c r="X47" s="254" t="s">
        <v>749</v>
      </c>
      <c r="Y47" s="255" t="s">
        <v>791</v>
      </c>
      <c r="Z47" s="43"/>
      <c r="AA47" s="43"/>
      <c r="AB47" s="43"/>
      <c r="AC47" s="43"/>
      <c r="AD47" s="43"/>
      <c r="AE47" s="43"/>
      <c r="AF47" s="43"/>
      <c r="AG47" s="43"/>
      <c r="AH47"/>
      <c r="AI47"/>
    </row>
    <row r="48" spans="1:35" ht="15.5" x14ac:dyDescent="0.35">
      <c r="A48" s="58"/>
      <c r="B48" s="62" t="s">
        <v>311</v>
      </c>
      <c r="C48" s="61">
        <f>IF('Model Selector'!D6&gt;=208,IF('Model Selector'!D6&lt;380,240,IF('Model Selector'!D6&gt;=380,IF('Model Selector'!D6&lt;=480,480,IF('Model Selector'!D6&gt;480,IF('Model Selector'!D6&lt;=600,600,IF('Model Selector'!D6&gt;600,IF('Model Selector'!D6&lt;=690,690,IF('Model Selector'!D6&gt;690,480)))))))))</f>
        <v>480</v>
      </c>
      <c r="D48" s="62"/>
      <c r="E48" s="62"/>
      <c r="F48" s="43"/>
      <c r="G48" s="43"/>
      <c r="H48" s="43"/>
      <c r="I48" s="43"/>
      <c r="J48" s="43">
        <v>690</v>
      </c>
      <c r="K48" s="43" t="s">
        <v>257</v>
      </c>
      <c r="L48" s="55" t="s">
        <v>413</v>
      </c>
      <c r="M48" s="55" t="s">
        <v>253</v>
      </c>
      <c r="N48" s="55" t="s">
        <v>507</v>
      </c>
      <c r="O48" s="55" t="s">
        <v>385</v>
      </c>
      <c r="P48" s="43"/>
      <c r="Q48" s="43"/>
      <c r="R48" s="43"/>
      <c r="S48" s="43"/>
      <c r="T48" s="43"/>
      <c r="U48" s="43"/>
      <c r="V48" s="43"/>
      <c r="W48" s="43"/>
      <c r="X48" s="83" t="s">
        <v>440</v>
      </c>
      <c r="Y48" s="83" t="s">
        <v>544</v>
      </c>
      <c r="Z48" s="43"/>
      <c r="AA48" s="43"/>
      <c r="AB48" s="43"/>
      <c r="AC48" s="43"/>
      <c r="AD48" s="43"/>
      <c r="AE48" s="43"/>
      <c r="AF48" s="43"/>
      <c r="AG48" s="43"/>
      <c r="AH48"/>
      <c r="AI48"/>
    </row>
    <row r="49" spans="1:35" ht="15.5" x14ac:dyDescent="0.35">
      <c r="A49" s="58"/>
      <c r="B49" s="62"/>
      <c r="C49" s="85"/>
      <c r="D49" s="62"/>
      <c r="E49" s="62"/>
      <c r="F49" s="43"/>
      <c r="G49" s="43"/>
      <c r="H49" s="43"/>
      <c r="I49" s="43"/>
      <c r="J49" s="43">
        <f t="shared" ref="J49:J52" si="7">K49*$D$10*$F$11</f>
        <v>40</v>
      </c>
      <c r="K49" s="43">
        <v>40</v>
      </c>
      <c r="L49" s="20" t="s">
        <v>494</v>
      </c>
      <c r="M49" s="20" t="s">
        <v>496</v>
      </c>
      <c r="N49" s="20" t="s">
        <v>493</v>
      </c>
      <c r="O49" s="20" t="s">
        <v>495</v>
      </c>
      <c r="P49" s="43"/>
      <c r="Q49" s="43"/>
      <c r="R49" s="43"/>
      <c r="S49" s="43"/>
      <c r="T49" s="43"/>
      <c r="U49" s="43"/>
      <c r="V49" s="43"/>
      <c r="W49" s="43"/>
      <c r="X49" s="83" t="s">
        <v>441</v>
      </c>
      <c r="Y49" s="83" t="s">
        <v>548</v>
      </c>
      <c r="Z49" s="43"/>
      <c r="AA49" s="43"/>
      <c r="AB49" s="43"/>
      <c r="AC49" s="43"/>
      <c r="AD49" s="43"/>
      <c r="AE49" s="43"/>
      <c r="AF49" s="43"/>
      <c r="AG49" s="43"/>
      <c r="AH49"/>
      <c r="AI49"/>
    </row>
    <row r="50" spans="1:35" x14ac:dyDescent="0.25">
      <c r="A50" s="47"/>
      <c r="B50" s="43"/>
      <c r="C50" s="43"/>
      <c r="D50" s="43"/>
      <c r="E50" s="43"/>
      <c r="F50" s="43"/>
      <c r="G50" s="43"/>
      <c r="H50" s="43"/>
      <c r="I50" s="43"/>
      <c r="J50" s="43">
        <f t="shared" si="7"/>
        <v>80</v>
      </c>
      <c r="K50" s="43">
        <v>80</v>
      </c>
      <c r="L50" s="20" t="s">
        <v>498</v>
      </c>
      <c r="M50" s="20" t="s">
        <v>500</v>
      </c>
      <c r="N50" s="20" t="s">
        <v>497</v>
      </c>
      <c r="O50" s="20" t="s">
        <v>499</v>
      </c>
      <c r="P50" s="43"/>
      <c r="Q50" s="43"/>
      <c r="R50" s="43"/>
      <c r="S50" s="43"/>
      <c r="T50" s="43"/>
      <c r="U50" s="43"/>
      <c r="V50" s="43"/>
      <c r="W50" s="43"/>
      <c r="X50" s="83" t="s">
        <v>442</v>
      </c>
      <c r="Y50" s="83" t="s">
        <v>556</v>
      </c>
      <c r="Z50" s="43"/>
      <c r="AA50" s="43"/>
      <c r="AB50" s="43"/>
      <c r="AC50" s="43"/>
      <c r="AD50" s="43"/>
      <c r="AE50" s="43"/>
      <c r="AF50" s="43"/>
      <c r="AG50" s="43"/>
      <c r="AH50"/>
      <c r="AI50"/>
    </row>
    <row r="51" spans="1:35" x14ac:dyDescent="0.25">
      <c r="A51" s="43"/>
      <c r="B51" s="43"/>
      <c r="C51" s="43"/>
      <c r="D51" s="43"/>
      <c r="E51" s="43"/>
      <c r="F51" s="43"/>
      <c r="G51" s="43"/>
      <c r="H51" s="43"/>
      <c r="J51" s="43">
        <f t="shared" si="7"/>
        <v>133</v>
      </c>
      <c r="K51" s="53">
        <v>133</v>
      </c>
      <c r="L51" s="20" t="s">
        <v>502</v>
      </c>
      <c r="M51" s="20" t="s">
        <v>504</v>
      </c>
      <c r="N51" s="20" t="s">
        <v>501</v>
      </c>
      <c r="O51" s="20" t="s">
        <v>503</v>
      </c>
      <c r="P51" s="43"/>
      <c r="Q51" s="43"/>
      <c r="R51" s="43"/>
      <c r="S51" s="43"/>
      <c r="T51" s="43"/>
      <c r="U51" s="43"/>
      <c r="V51" s="43"/>
      <c r="W51" s="43"/>
      <c r="X51" s="83" t="s">
        <v>444</v>
      </c>
      <c r="Y51" s="83" t="s">
        <v>560</v>
      </c>
      <c r="Z51" s="43"/>
      <c r="AA51" s="43"/>
      <c r="AB51" s="43"/>
      <c r="AC51" s="43"/>
      <c r="AD51" s="43"/>
      <c r="AE51" s="43"/>
      <c r="AF51" s="43"/>
      <c r="AG51" s="43"/>
      <c r="AH51"/>
      <c r="AI51"/>
    </row>
    <row r="52" spans="1:35" x14ac:dyDescent="0.25">
      <c r="A52" s="43"/>
      <c r="B52" s="43"/>
      <c r="C52" s="43"/>
      <c r="D52" s="43"/>
      <c r="E52" s="43"/>
      <c r="F52" s="43"/>
      <c r="G52" s="43"/>
      <c r="H52" s="43"/>
      <c r="I52" s="43"/>
      <c r="J52" s="43">
        <f t="shared" si="7"/>
        <v>200</v>
      </c>
      <c r="K52" s="43">
        <f>300*460/690</f>
        <v>200</v>
      </c>
      <c r="L52" s="20" t="s">
        <v>515</v>
      </c>
      <c r="M52" s="20" t="s">
        <v>506</v>
      </c>
      <c r="N52" s="20" t="s">
        <v>585</v>
      </c>
      <c r="O52" s="20" t="s">
        <v>505</v>
      </c>
      <c r="P52" s="43"/>
      <c r="Q52" s="43"/>
      <c r="R52" s="43"/>
      <c r="S52" s="43"/>
      <c r="T52" s="43"/>
      <c r="U52" s="43"/>
      <c r="V52" s="43"/>
      <c r="W52" s="43"/>
      <c r="X52" s="83" t="s">
        <v>443</v>
      </c>
      <c r="Y52" s="83" t="s">
        <v>552</v>
      </c>
      <c r="Z52" s="43"/>
      <c r="AA52" s="43"/>
      <c r="AB52" s="43"/>
      <c r="AC52" s="43"/>
      <c r="AD52" s="43"/>
      <c r="AE52" s="43"/>
      <c r="AF52" s="43"/>
      <c r="AG52" s="43"/>
      <c r="AH52"/>
      <c r="AI52"/>
    </row>
    <row r="53" spans="1:35"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20" t="s">
        <v>502</v>
      </c>
      <c r="Y53" s="20" t="s">
        <v>580</v>
      </c>
      <c r="Z53" s="43"/>
      <c r="AA53" s="43"/>
      <c r="AB53" s="43"/>
      <c r="AC53" s="43"/>
      <c r="AD53" s="43"/>
      <c r="AE53" s="43"/>
      <c r="AF53" s="43"/>
      <c r="AG53" s="43"/>
      <c r="AH53"/>
      <c r="AI53"/>
    </row>
    <row r="54" spans="1:35" x14ac:dyDescent="0.25">
      <c r="A54" s="43"/>
      <c r="B54" s="43"/>
      <c r="C54" s="43"/>
      <c r="D54" s="43"/>
      <c r="E54" s="43" t="s">
        <v>290</v>
      </c>
      <c r="F54" s="43" t="s">
        <v>356</v>
      </c>
      <c r="G54" s="43" t="s">
        <v>223</v>
      </c>
      <c r="H54" s="43" t="s">
        <v>284</v>
      </c>
      <c r="I54" s="43"/>
      <c r="J54" s="65" t="s">
        <v>264</v>
      </c>
      <c r="K54" s="43">
        <f>IF('AccuSine Sizing Tool'!D17="x","Harm",IF('AccuSine Sizing Tool'!D18="x","PFC",IF('AccuSine Sizing Tool'!D20="x","LB",1)))</f>
        <v>1</v>
      </c>
      <c r="L54" s="44"/>
      <c r="M54" s="43"/>
      <c r="N54" s="43"/>
      <c r="O54" s="43" t="s">
        <v>280</v>
      </c>
      <c r="P54" s="43" t="s">
        <v>281</v>
      </c>
      <c r="Q54" s="43"/>
      <c r="R54" s="43"/>
      <c r="S54" s="43"/>
      <c r="T54" s="43"/>
      <c r="U54" s="43"/>
      <c r="V54" s="43"/>
      <c r="W54" s="43"/>
      <c r="X54" s="20" t="s">
        <v>504</v>
      </c>
      <c r="Y54" s="20" t="s">
        <v>589</v>
      </c>
      <c r="Z54" s="43"/>
      <c r="AA54" s="43"/>
      <c r="AB54" s="43"/>
      <c r="AC54" s="43"/>
      <c r="AD54" s="43"/>
      <c r="AE54" s="43"/>
      <c r="AF54" s="43"/>
      <c r="AG54" s="43"/>
      <c r="AH54"/>
      <c r="AI54"/>
    </row>
    <row r="55" spans="1:35" x14ac:dyDescent="0.25">
      <c r="A55" s="43"/>
      <c r="B55" s="43"/>
      <c r="C55" s="43"/>
      <c r="D55" s="43"/>
      <c r="E55" s="43"/>
      <c r="F55" s="43"/>
      <c r="G55" s="43"/>
      <c r="H55" s="43"/>
      <c r="I55" s="43"/>
      <c r="J55" s="43"/>
      <c r="K55" s="43" t="s">
        <v>282</v>
      </c>
      <c r="L55" s="43" t="s">
        <v>283</v>
      </c>
      <c r="M55" s="43">
        <f>IF($E17&lt;=2*$J11,$K11+1,IF($E17&lt;=3*$J10,$K10+1,IF($E17&gt;3*$J10,IF($E17&lt;=4*$J11,$K11+1,0))))</f>
        <v>301</v>
      </c>
      <c r="N55" s="43"/>
      <c r="O55" s="43">
        <f>IF($E17&lt;=2*$J11,2,IF($E17&lt;=3*$J10,3,IF($E17&lt;=3*$J11,3,IF($E17&lt;=4*$J11,4,0))))</f>
        <v>2</v>
      </c>
      <c r="P55" s="43"/>
      <c r="Q55" s="43"/>
      <c r="R55" s="43"/>
      <c r="S55" s="49" t="s">
        <v>606</v>
      </c>
      <c r="T55" s="43"/>
      <c r="U55" s="43"/>
      <c r="V55" s="43"/>
      <c r="W55" s="43"/>
      <c r="X55" s="20" t="s">
        <v>503</v>
      </c>
      <c r="Y55" s="20" t="s">
        <v>593</v>
      </c>
      <c r="Z55" s="43"/>
      <c r="AA55" s="43"/>
      <c r="AB55" s="43"/>
      <c r="AC55" s="43"/>
      <c r="AD55" s="43"/>
      <c r="AE55" s="43"/>
      <c r="AF55" s="43"/>
      <c r="AG55" s="43"/>
      <c r="AH55"/>
      <c r="AI55"/>
    </row>
    <row r="56" spans="1:35" x14ac:dyDescent="0.25">
      <c r="A56" s="43"/>
      <c r="B56" s="43"/>
      <c r="C56" s="43"/>
      <c r="D56" s="43"/>
      <c r="E56" s="43">
        <f>IF('Model Selector'!$D$10="yes",0,IF('AccuSine Sizing Tool'!$D$17="",0,IF('Model Selector'!$D$8&gt;0,IF($C$48=240,1,0),0)))</f>
        <v>0</v>
      </c>
      <c r="F56" s="66">
        <f>E16</f>
        <v>0</v>
      </c>
      <c r="G56" s="43">
        <f>C48</f>
        <v>480</v>
      </c>
      <c r="H56" s="43" t="str">
        <f>S56</f>
        <v/>
      </c>
      <c r="I56" s="253" t="s">
        <v>984</v>
      </c>
      <c r="J56" s="43"/>
      <c r="K56" s="43">
        <f>IF(E56=0,0,INDEX($K$7:$P$11,MATCH($M$56,$K$7:$K$11,1),MATCH(H56,$K$7:$P$7,0)))</f>
        <v>0</v>
      </c>
      <c r="L56" s="43">
        <f>IF(E56=0,0,IF(N56=0,0,INDEX($K$7:$P$11,MATCH($N$58,$K$7:$K$11,1),MATCH(H56,$K$7:$P$7,0))))</f>
        <v>0</v>
      </c>
      <c r="M56" s="67">
        <f>IF(F56&lt;=J8,K8+1,IF(F56&lt;=J9,K9+1,IF(F56&lt;=J10,K10+1,IF(F56&lt;=J12+J8,K12+1,IF(F56&lt;=2*J10,K10+1,IF(F56&gt;2*J10,K11+1,0))))))</f>
        <v>61</v>
      </c>
      <c r="N56" s="67">
        <f>IF(M56=K34+1,IF(F56-R56*J34&lt;=0,0,IF(F56-R56*J34&lt;=J31,K31+1,IF(F56-R56*J34&lt;=J32,K32+1,IF(F56-R56*J34&lt;=J33,K33+1,0)))),0)</f>
        <v>0</v>
      </c>
      <c r="O56" s="43">
        <f>IF(E56=0,0,IF(F56&lt;=J$14+J$17,1,IF(F56&lt;2*J$16,2,IF(F56&lt;=J$15+J$17,1,IF(F56&lt;=2*J$16,2,IF(F56&lt;=J$16+J$17,1,IF(F56&lt;=2*J$17,2,IF(F56&lt;=2*J$17+J12,2,IF(F56&lt;=2*J$17+J$15,2,IF(F56&lt;=2*J$17+J$16,2,IF(AND(F56&gt;2*J$17+J$16,F56&lt;=3*J$17),3,IF(F56&lt;=3*J$17+J$16,3,IF(F56&gt;3*J$17+J$16,Q56-P56,0)))))))))))))</f>
        <v>0</v>
      </c>
      <c r="P56" s="43">
        <f>IF(E56=0,0,IF(N56&gt;0,1,0))</f>
        <v>0</v>
      </c>
      <c r="Q56" s="43">
        <f>IF(F$58/J$34&gt;1,ROUNDUP(F$58/J$34,0),0)</f>
        <v>0</v>
      </c>
      <c r="R56" s="43">
        <f>IF($F$56/J$34&gt;1,ROUNDDOWN(F56/J$34,0),0)</f>
        <v>0</v>
      </c>
      <c r="S56" s="49" t="str">
        <f>IF('Model Selector'!D$16="x",'Mod Sel Calcs'!L$35,IF('Model Selector'!D$17="x","IP00",IF('Model Selector'!D$18="x",'Mod Sel Calcs'!M$35,IF('Model Selector'!D$19="x",'Mod Sel Calcs'!N$35,IF('Model Selector'!D$20="x",'Mod Sel Calcs'!O35,IF('Model Selector'!D21="x",'Mod Sel Calcs'!P35,""))))))</f>
        <v/>
      </c>
      <c r="T56" s="43"/>
      <c r="U56" s="43"/>
      <c r="V56" s="43"/>
      <c r="W56" s="43"/>
      <c r="X56" s="20" t="s">
        <v>501</v>
      </c>
      <c r="Y56" s="20" t="s">
        <v>584</v>
      </c>
      <c r="Z56" s="43"/>
      <c r="AA56" s="43"/>
      <c r="AB56" s="43"/>
      <c r="AC56" s="43"/>
      <c r="AD56" s="43"/>
      <c r="AE56" s="43"/>
      <c r="AF56" s="43"/>
      <c r="AG56" s="43"/>
      <c r="AH56"/>
      <c r="AI56"/>
    </row>
    <row r="57" spans="1:35" x14ac:dyDescent="0.25">
      <c r="A57" s="43"/>
      <c r="B57" s="43"/>
      <c r="C57" s="43"/>
      <c r="D57" s="81"/>
      <c r="E57" s="43"/>
      <c r="F57" s="66"/>
      <c r="G57" s="43"/>
      <c r="H57" s="43"/>
      <c r="I57" s="43"/>
      <c r="J57" s="43"/>
      <c r="K57" s="43"/>
      <c r="L57" s="43"/>
      <c r="M57" s="67"/>
      <c r="N57" s="67"/>
      <c r="O57" s="43"/>
      <c r="P57" s="43"/>
      <c r="Q57" s="43" t="s">
        <v>596</v>
      </c>
      <c r="R57" s="43" t="s">
        <v>597</v>
      </c>
      <c r="S57" s="49" t="str">
        <f>IF('Model Selector'!D17="x","IP20","")</f>
        <v/>
      </c>
      <c r="T57" s="49" t="s">
        <v>605</v>
      </c>
      <c r="U57" s="43"/>
      <c r="V57" s="43"/>
      <c r="W57" s="43"/>
      <c r="X57" s="83" t="s">
        <v>514</v>
      </c>
      <c r="Y57" s="84" t="s">
        <v>663</v>
      </c>
      <c r="Z57" s="43"/>
      <c r="AA57" s="43"/>
      <c r="AB57" s="43"/>
      <c r="AC57" s="43"/>
      <c r="AD57" s="43"/>
      <c r="AE57" s="43"/>
      <c r="AF57" s="43"/>
      <c r="AG57" s="43"/>
      <c r="AH57"/>
      <c r="AI57"/>
    </row>
    <row r="58" spans="1:35" x14ac:dyDescent="0.25">
      <c r="A58" s="43"/>
      <c r="B58" s="43"/>
      <c r="C58" s="43"/>
      <c r="D58" s="101"/>
      <c r="E58" s="43">
        <f>IF('Model Selector'!$D$10="yes",0,IF('AccuSine Sizing Tool'!$D$17="",0,IF('Model Selector'!$D$8&gt;0,IF($C$48=480,1,0),0)))</f>
        <v>0</v>
      </c>
      <c r="F58" s="67">
        <f>E17</f>
        <v>0</v>
      </c>
      <c r="G58" s="68">
        <f>C48</f>
        <v>480</v>
      </c>
      <c r="H58" s="43" t="str">
        <f>S56</f>
        <v/>
      </c>
      <c r="I58" s="43" t="s">
        <v>258</v>
      </c>
      <c r="J58" s="43"/>
      <c r="K58" s="43">
        <f>IF(E58=0,0,INDEX($K$13:$P$17,MATCH($M$58,$K$13:$K$17,1),MATCH(H58,$K$13:$P$13,0)))</f>
        <v>0</v>
      </c>
      <c r="L58" s="43">
        <f>IF(E58=0,0,IF(N58=0,0,INDEX($K$13:$P$17,MATCH($N$58,$K$13:$K$17,1),MATCH(H58,$K$13:$P$13,0))))</f>
        <v>0</v>
      </c>
      <c r="M58" s="67">
        <f>IF(F58&lt;=J14,K14+1,IF(F58&lt;=J15,K15+1,IF(F58&lt;=J16,K16+1,IF(F58&lt;=J17+J14,K17+1,IF(F58&lt;=2*J16,K16+1,IF(F58&gt;2*J16,K17+1,0))))))</f>
        <v>61</v>
      </c>
      <c r="N58" s="67">
        <f>IF(M58=K39+1,IF(F58-R58*J39&lt;=0,0,IF(F58-R58*J39&lt;=J36,K36+1,IF(F58-R58*J39&lt;=J37,K37+1,IF(F58-R58*J39&lt;=J38,K38+1,0)))),0)</f>
        <v>0</v>
      </c>
      <c r="O58" s="43">
        <f>IF(E58=0,0,IF(F58&lt;=J$14+J$17,1,IF(F58&lt;2*J$16,2,IF(F58&lt;=J$15+J$17,1,IF(F58&lt;=2*J$16,2,IF(F58&lt;=J$16+J$17,1,IF(F58&lt;=2*J$17,2,IF(F58&lt;=2*J$17+J14,2,IF(F58&lt;=2*J$17+J$15,2,IF(F58&lt;=2*J$17+J$16,2,IF(AND(F58&gt;2*J$17+J$16,F58&lt;=3*J$17),3,IF(F58&lt;=3*J$17+J$16,3,IF(F58&gt;3*J$17+J$16,Q58-P58,0)))))))))))))</f>
        <v>0</v>
      </c>
      <c r="P58" s="43">
        <f>IF(E58=0,0,IF(N58&gt;0,1,0))</f>
        <v>0</v>
      </c>
      <c r="Q58" s="43">
        <f>IF(F$58/J$39&gt;1,ROUNDUP(F$58/J$39,0),0)</f>
        <v>0</v>
      </c>
      <c r="R58" s="43">
        <f>IF($F$58/J$39&gt;1,ROUNDDOWN(F58/J$39,0),0)</f>
        <v>0</v>
      </c>
      <c r="S58" s="43"/>
      <c r="T58" s="43"/>
      <c r="U58" s="43"/>
      <c r="V58" s="43"/>
      <c r="W58" s="43"/>
      <c r="X58" s="83" t="s">
        <v>490</v>
      </c>
      <c r="Y58" s="84" t="s">
        <v>664</v>
      </c>
      <c r="Z58" s="43"/>
      <c r="AA58" s="43"/>
      <c r="AB58" s="43"/>
      <c r="AC58" s="43"/>
      <c r="AD58" s="43"/>
      <c r="AE58" s="43"/>
      <c r="AF58" s="43"/>
      <c r="AG58" s="43"/>
      <c r="AH58"/>
      <c r="AI58"/>
    </row>
    <row r="59" spans="1:35" x14ac:dyDescent="0.25">
      <c r="A59" s="43"/>
      <c r="B59" s="43"/>
      <c r="C59" s="43"/>
      <c r="D59" s="81"/>
      <c r="E59" s="43"/>
      <c r="F59" s="66"/>
      <c r="G59" s="43" t="s">
        <v>35</v>
      </c>
      <c r="H59" s="43"/>
      <c r="I59" s="43"/>
      <c r="J59" s="43"/>
      <c r="K59" s="43"/>
      <c r="L59" s="43"/>
      <c r="M59" s="67"/>
      <c r="N59" s="67"/>
      <c r="O59" s="43"/>
      <c r="P59" s="43"/>
      <c r="Q59" s="43"/>
      <c r="R59" s="43"/>
      <c r="S59" s="43"/>
      <c r="T59" s="43"/>
      <c r="U59" s="43"/>
      <c r="V59" s="43"/>
      <c r="W59" s="43"/>
      <c r="X59" s="83" t="s">
        <v>489</v>
      </c>
      <c r="Y59" s="84" t="s">
        <v>665</v>
      </c>
      <c r="Z59" s="43"/>
      <c r="AA59" s="43"/>
      <c r="AB59" s="43"/>
      <c r="AC59" s="43"/>
      <c r="AD59" s="43"/>
      <c r="AE59" s="43"/>
      <c r="AF59" s="43"/>
      <c r="AG59" s="43"/>
      <c r="AH59"/>
      <c r="AI59"/>
    </row>
    <row r="60" spans="1:35" x14ac:dyDescent="0.25">
      <c r="A60" s="43"/>
      <c r="B60" s="43"/>
      <c r="C60" s="43"/>
      <c r="D60" s="81"/>
      <c r="E60" s="43">
        <f>IF('Model Selector'!$D$10="yes",0,IF('AccuSine Sizing Tool'!$D$17="",0,IF('Model Selector'!$D$8&gt;0,IF($C$48=600,1,0),0)))</f>
        <v>0</v>
      </c>
      <c r="F60" s="66">
        <f>E18</f>
        <v>0</v>
      </c>
      <c r="G60" s="43">
        <f>C48</f>
        <v>480</v>
      </c>
      <c r="H60" s="43" t="str">
        <f>S56</f>
        <v/>
      </c>
      <c r="I60" s="43" t="s">
        <v>260</v>
      </c>
      <c r="J60" s="43"/>
      <c r="K60" s="43">
        <f>IF($E60=0,0,INDEX($K$19:$O$23,MATCH($M$60,$K$19:$K$23,1),MATCH(H60,$K$19:$O$19,0)))</f>
        <v>0</v>
      </c>
      <c r="L60" s="43">
        <f>IF($E60&gt;0,IF(N60&gt;0,INDEX($K$19:$O$23,MATCH($N$60,$K$19:$K$23,1),MATCH(H60,$K$19:$O$19,0)),0),0)</f>
        <v>0</v>
      </c>
      <c r="M60" s="67">
        <f>IF(F60&lt;=J$43,K$43+1,IF(F60&lt;=J$44,K$44+1,IF(F60&lt;=J$45,K$45+1,IF(F60&lt;=J$45,K$46+1,K$46+1))))</f>
        <v>48</v>
      </c>
      <c r="N60" s="67">
        <f>IF(M60=K$46+1,IF(F60-R60*J$46&lt;=0,0,IF(F60-R60*J$46&lt;=J$43,K$43+1,IF(F60-R60*J$46&lt;=J$44,K$44+1,IF(F60-R60*J$46&lt;=J$45,K$45+1,0)))),0)</f>
        <v>0</v>
      </c>
      <c r="O60" s="43">
        <f>IF(E60=0,0,IF(F60&lt;=J$23+J$20,1,IF(F60&lt;2*J$22,2,IF(F60&lt;=J$21+J$23,1,IF(F60&lt;=2*J$23,2,IF(F60&lt;=J$22+J$23,1,IF(F60&lt;=2*J$23,2,IF(F60&lt;=2*J$23+J$22,2,IF(F60&lt;=2*J$23+J$21,2,IF(F60&lt;=2*J$23+J$22,2,IF(AND(F60&gt;2*J$23+J$22,F60&lt;=3*J$23),3,IF(F60&lt;=3*J$23+J$22,3,IF(F60&gt;3*J$23+J$22,Q60-P60,0)))))))))))))</f>
        <v>0</v>
      </c>
      <c r="P60" s="43">
        <f>IF(E60=0,0,IF(N60&gt;0,1,0))</f>
        <v>0</v>
      </c>
      <c r="Q60" s="43">
        <f>IF(F$58/J$46&gt;1,ROUNDUP(F$58/J$46,0),0)</f>
        <v>0</v>
      </c>
      <c r="R60" s="43">
        <f>IF($F$60/J$46&gt;1,ROUNDDOWN(F$58/J$46,0),0)</f>
        <v>0</v>
      </c>
      <c r="S60" s="43"/>
      <c r="T60" s="43"/>
      <c r="U60" s="43"/>
      <c r="V60" s="43"/>
      <c r="W60" s="43"/>
      <c r="X60" s="83" t="s">
        <v>488</v>
      </c>
      <c r="Y60" s="84" t="s">
        <v>666</v>
      </c>
      <c r="Z60" s="43"/>
      <c r="AA60" s="43"/>
      <c r="AB60" s="43"/>
      <c r="AC60" s="43"/>
      <c r="AD60" s="43"/>
      <c r="AE60" s="43"/>
      <c r="AF60" s="43"/>
      <c r="AG60" s="43"/>
      <c r="AH60"/>
      <c r="AI60"/>
    </row>
    <row r="61" spans="1:35" ht="15.5" x14ac:dyDescent="0.35">
      <c r="A61" s="43"/>
      <c r="B61" s="43"/>
      <c r="C61" s="43"/>
      <c r="D61" s="81"/>
      <c r="E61" s="43"/>
      <c r="F61" s="66"/>
      <c r="G61" s="43"/>
      <c r="H61" s="43"/>
      <c r="I61" s="43"/>
      <c r="J61" s="43"/>
      <c r="K61" s="43"/>
      <c r="L61" s="43"/>
      <c r="M61" s="67"/>
      <c r="N61" s="67"/>
      <c r="O61" s="43"/>
      <c r="P61" s="43"/>
      <c r="Q61" s="43"/>
      <c r="R61" s="43"/>
      <c r="S61" s="43"/>
      <c r="T61" s="43"/>
      <c r="U61" s="43"/>
      <c r="V61" s="43"/>
      <c r="W61" s="43"/>
      <c r="X61" s="254" t="s">
        <v>751</v>
      </c>
      <c r="Y61" s="255" t="s">
        <v>784</v>
      </c>
      <c r="Z61" s="43"/>
      <c r="AA61" s="43"/>
      <c r="AB61" s="43"/>
      <c r="AC61" s="43"/>
      <c r="AD61" s="43"/>
      <c r="AE61" s="43"/>
      <c r="AF61" s="43"/>
      <c r="AG61" s="43"/>
      <c r="AH61"/>
      <c r="AI61"/>
    </row>
    <row r="62" spans="1:35" ht="15.5" x14ac:dyDescent="0.35">
      <c r="A62" s="43"/>
      <c r="B62" s="43"/>
      <c r="C62" s="43"/>
      <c r="D62" s="81"/>
      <c r="E62" s="43">
        <f>IF('Model Selector'!$D$10="yes",0,IF('AccuSine Sizing Tool'!$D$17="",0,IF('Model Selector'!$D$8&gt;0,IF($C$48=690,1,0),0)))</f>
        <v>0</v>
      </c>
      <c r="F62" s="66">
        <f>E19</f>
        <v>0</v>
      </c>
      <c r="G62" s="43">
        <f>C48</f>
        <v>480</v>
      </c>
      <c r="H62" s="43" t="str">
        <f>S56</f>
        <v/>
      </c>
      <c r="I62" s="43" t="s">
        <v>259</v>
      </c>
      <c r="J62" s="43"/>
      <c r="K62" s="43">
        <f>IF($E62=0,0,INDEX($K$24:$O$28,MATCH($M$62,$K$24:$K$28,1),MATCH(H62,$K$24:$O$24,0)))</f>
        <v>0</v>
      </c>
      <c r="L62" s="43">
        <f>IF($E62&gt;0,IF(N62&gt;0,INDEX($K$19:$O$23,MATCH($N$62,$K$19:$K$23,1),MATCH(H62,$K$19:$O$19,0)),0),0)</f>
        <v>0</v>
      </c>
      <c r="M62" s="67">
        <f>IF(F62&lt;=K$49,K$49+1,IF(F62&lt;=K$50,K$50+1,IF(F62&lt;=K$51,K$51+1,IF(F62&lt;=K$51,K$52+1,K$52+1))))</f>
        <v>41</v>
      </c>
      <c r="N62" s="67">
        <f>IF(M62=K$52+1,IF(F62-R62*J$52&lt;=0,0,IF(F62-R62*J$52&lt;=J$49,K49+1,IF(F62-R62*J$52&lt;=J$50,K50+1,IF(F62-R62*J$51&lt;=K51+1,K52+1,0)))),0)</f>
        <v>0</v>
      </c>
      <c r="O62" s="43">
        <f>IF(E62=0,0,IF(F62&lt;=J$52+J$49,1,IF(F62&lt;2*J$51,2,IF(F62&lt;=J$50+J$52,1,IF(F62&lt;=J$52+J51,1,IF(F62&lt;=2*J$52,2,IF(F62&lt;=2*J$52+J$49,2,IF(F62&lt;=2*J$52+J$50,2,IF(F62&lt;=2*J$52+J$51,2,IF(F62&gt;=2*J52,2,IF(AND(F62&gt;2*J$52,F62&lt;=3*J$52),3,IF(F62&lt;=3*J$52+J$51,3,IF(F62&gt;3*J$52+J$51,Q62-P62,0)))))))))))))</f>
        <v>0</v>
      </c>
      <c r="P62" s="43">
        <f>IF(E62=0,0,IF(N62&gt;0,1,0))</f>
        <v>0</v>
      </c>
      <c r="Q62" s="43">
        <f>IF(F$58/J$52&gt;1,ROUNDUP(F$58/J$52,0),0)</f>
        <v>0</v>
      </c>
      <c r="R62" s="43">
        <f>IF($F$62/J$52&gt;1,ROUNDDOWN(F$58/J$52,0),0)</f>
        <v>0</v>
      </c>
      <c r="S62" s="43"/>
      <c r="T62" s="43"/>
      <c r="U62" s="43"/>
      <c r="V62" s="43"/>
      <c r="W62" s="43"/>
      <c r="X62" s="254" t="s">
        <v>751</v>
      </c>
      <c r="Y62" s="255" t="s">
        <v>784</v>
      </c>
      <c r="Z62" s="43"/>
      <c r="AA62" s="43"/>
      <c r="AB62" s="43"/>
      <c r="AC62" s="43"/>
      <c r="AD62" s="43"/>
      <c r="AE62" s="43"/>
      <c r="AF62" s="43"/>
      <c r="AG62" s="43"/>
      <c r="AH62"/>
      <c r="AI62"/>
    </row>
    <row r="63" spans="1:35" ht="15.5" x14ac:dyDescent="0.35">
      <c r="A63" s="43"/>
      <c r="B63" s="43"/>
      <c r="C63" s="43"/>
      <c r="D63" s="81"/>
      <c r="E63" s="43"/>
      <c r="F63" s="66"/>
      <c r="G63" s="69"/>
      <c r="H63" s="43"/>
      <c r="I63" s="43"/>
      <c r="J63" s="43"/>
      <c r="K63" s="43"/>
      <c r="L63" s="43"/>
      <c r="M63" s="67"/>
      <c r="N63" s="67"/>
      <c r="O63" s="43"/>
      <c r="P63" s="43"/>
      <c r="Q63" s="43"/>
      <c r="R63" s="43"/>
      <c r="S63" s="43"/>
      <c r="T63" s="43"/>
      <c r="U63" s="43"/>
      <c r="V63" s="43"/>
      <c r="W63" s="43"/>
      <c r="X63" s="254" t="s">
        <v>752</v>
      </c>
      <c r="Y63" s="255" t="s">
        <v>788</v>
      </c>
      <c r="Z63" s="43"/>
      <c r="AA63" s="43"/>
      <c r="AB63" s="43"/>
      <c r="AC63" s="43"/>
      <c r="AD63" s="43"/>
      <c r="AE63" s="43"/>
      <c r="AF63" s="43"/>
      <c r="AG63" s="43"/>
      <c r="AH63"/>
      <c r="AI63"/>
    </row>
    <row r="64" spans="1:35" ht="15.5" x14ac:dyDescent="0.35">
      <c r="A64" s="43"/>
      <c r="B64" s="43"/>
      <c r="C64" s="43"/>
      <c r="D64" s="101"/>
      <c r="E64" s="43">
        <f>IF('Model Selector'!$D$10="yes",IF($C$48=240,1,0),IF('AccuSine Sizing Tool'!$D$17="x",0,IF('Model Selector'!$D$8&gt;0,IF($C$48=240,1,0),0)))</f>
        <v>0</v>
      </c>
      <c r="F64" s="285">
        <f>E16</f>
        <v>0</v>
      </c>
      <c r="G64" s="53">
        <f>C48</f>
        <v>480</v>
      </c>
      <c r="H64" s="53" t="str">
        <f>S56</f>
        <v/>
      </c>
      <c r="I64" s="286" t="s">
        <v>985</v>
      </c>
      <c r="K64" s="43">
        <f>IF($E64=0,0,INDEX($K$30:$P$34,MATCH($M$64,$K$30:$K$34,1),MATCH(H64,$K$30:$P$30,0)))</f>
        <v>0</v>
      </c>
      <c r="L64" s="43">
        <f>IF($E64&gt;0,IF(N64&gt;0,INDEX($K$19:$O$23,MATCH($N$64,$K$19:$K$23,1),MATCH(H64,$K$19:$O$19,0)),0),0)</f>
        <v>0</v>
      </c>
      <c r="M64" s="67" t="e">
        <f>IF(F64&lt;=J30,K30+1,IF(F64&lt;=J31,K31+1,IF(F64&lt;=J32,K32+1,IF(F64&lt;=J34+J30,K34+1,IF(F64&lt;=2*J33,K33+1,IF(F64&gt;2*J33,K34+1,0))))))</f>
        <v>#VALUE!</v>
      </c>
      <c r="N64" s="67" t="e">
        <f>IF(M64=K34+1,IF(F64-R64*J34&lt;=0,0,IF(F64-R64*J34&lt;=J31,K31+1,IF(F64-R64*J34&lt;=J32,K32+1,IF(F64-R64*J34&lt;=J33,K33+1,0)))),0)</f>
        <v>#VALUE!</v>
      </c>
      <c r="O64" s="43">
        <f>IF(E64=0,0,IF(F64&lt;=J$14+J$17,1,IF(F64&lt;2*J$16,2,IF(F64&lt;=J$15+J$17,1,IF(F64&lt;=2*J$16,2,IF(F64&lt;=J$16+J$17,1,IF(F64&lt;=2*J$17,2,IF(F64&lt;=2*J$17+J20,2,IF(F64&lt;=2*J$17+J$15,2,IF(F64&lt;=2*J$17+J$16,2,IF(AND(F64&gt;2*J$17+J$16,F64&lt;=3*J$17),3,IF(F64&lt;=3*J$17+J$16,3,IF(F64&gt;3*J$17+J$16,Q64-P64,0)))))))))))))</f>
        <v>0</v>
      </c>
      <c r="P64" s="43">
        <f>IF(E64=0,0,IF(N64&gt;0,1,0))</f>
        <v>0</v>
      </c>
      <c r="Q64" s="43">
        <f>IF(F$58/J$34&gt;1,ROUNDUP(F$58/J$34,0),0)</f>
        <v>0</v>
      </c>
      <c r="R64" s="43">
        <f>IF($F$64/J$34&gt;1,ROUNDDOWN(F64/J$34,0),0)</f>
        <v>0</v>
      </c>
      <c r="S64" s="43"/>
      <c r="T64" s="43"/>
      <c r="U64" s="43"/>
      <c r="V64" s="43"/>
      <c r="W64" s="43"/>
      <c r="X64" s="254" t="s">
        <v>752</v>
      </c>
      <c r="Y64" s="255" t="s">
        <v>788</v>
      </c>
      <c r="Z64" s="43"/>
      <c r="AA64" s="47"/>
      <c r="AB64" s="47"/>
      <c r="AC64" s="43"/>
      <c r="AD64" s="43"/>
      <c r="AE64" s="43"/>
      <c r="AF64" s="43"/>
      <c r="AG64" s="43"/>
      <c r="AH64"/>
      <c r="AI64"/>
    </row>
    <row r="65" spans="1:35" ht="15.5" x14ac:dyDescent="0.35">
      <c r="A65" s="43"/>
      <c r="B65" s="43"/>
      <c r="C65" s="43"/>
      <c r="D65" s="81"/>
      <c r="O65" s="43"/>
      <c r="S65" s="43"/>
      <c r="T65" s="43"/>
      <c r="U65" s="43"/>
      <c r="V65" s="43"/>
      <c r="W65" s="43"/>
      <c r="X65" s="254" t="s">
        <v>753</v>
      </c>
      <c r="Y65" s="255" t="s">
        <v>800</v>
      </c>
      <c r="Z65" s="43"/>
      <c r="AA65" s="21"/>
      <c r="AB65" s="29"/>
      <c r="AC65" s="43"/>
      <c r="AD65" s="43"/>
      <c r="AE65" s="43"/>
      <c r="AF65" s="43"/>
      <c r="AG65" s="43"/>
      <c r="AH65"/>
      <c r="AI65"/>
    </row>
    <row r="66" spans="1:35" ht="15.5" x14ac:dyDescent="0.35">
      <c r="A66" s="43"/>
      <c r="B66" s="43"/>
      <c r="C66" s="43"/>
      <c r="D66" s="81"/>
      <c r="E66" s="43">
        <f>IF('Model Selector'!$D$10="yes",IF($C$48=480,1,0),IF('AccuSine Sizing Tool'!$D$17="x",0,IF('Model Selector'!$D$8&gt;0,IF($C$48=480,1,0),0)))</f>
        <v>0</v>
      </c>
      <c r="F66" s="67">
        <f>E17</f>
        <v>0</v>
      </c>
      <c r="G66" s="68">
        <f>C48</f>
        <v>480</v>
      </c>
      <c r="H66" s="43" t="str">
        <f>S56</f>
        <v/>
      </c>
      <c r="I66" s="43" t="s">
        <v>261</v>
      </c>
      <c r="J66" s="43"/>
      <c r="K66" s="43">
        <f>IF($E66=0,0,INDEX($K$35:$P$39,MATCH($M$66,$K$35:$K$39,1),MATCH(H66,$K$35:$P$35,0)))</f>
        <v>0</v>
      </c>
      <c r="L66" s="43">
        <f>IF(N66=0,0,IF($E66=0,0,INDEX($K$35:$P39,MATCH($N$66,$K$35:$K$39,1),MATCH(H66,$K$35:$P$35,0))))</f>
        <v>0</v>
      </c>
      <c r="M66" s="67">
        <f>IF(F66&lt;=J36,K36+1,IF(F66&lt;=J37,K37+1,IF(F66&lt;=J38,K38+1,IF(F66&lt;=J39+J36,K39+1,IF(F66&lt;=2*J38,K38+1,IF(F66&gt;2*J38,K39+1,0))))))</f>
        <v>61</v>
      </c>
      <c r="N66" s="67">
        <f>IF(M66=K39+1,IF(F66-R66*J39&lt;=0,0,IF(F66-R66*J39&lt;=J36,K36+1,IF(F66-R66*J39&lt;=J37,K37+1,IF(F66-R66*J39&lt;=J38,K38+1,0)))),0)</f>
        <v>0</v>
      </c>
      <c r="O66" s="43">
        <f>IF(E66=0,0,IF(F66&lt;=J$14+J$17,1,IF(F66&lt;2*J$16,2,IF(F66&lt;=J$15+J$17,1,IF(F66&lt;=2*J$16,2,IF(F66&lt;=J$16+J$17,1,IF(F66&lt;=2*J$17,2,IF(F66&lt;=2*J$17+J22,2,IF(F66&lt;=2*J$17+J$15,2,IF(F66&lt;=2*J$17+J$16,2,IF(AND(F66&gt;2*J$17+J$16,F66&lt;=3*J$17),3,IF(F66&lt;=3*J$17+J$16,3,IF(F66&gt;3*J$17+J$16,Q66-P66,0)))))))))))))</f>
        <v>0</v>
      </c>
      <c r="P66" s="43">
        <f>IF(E66=0,0,IF(N66&gt;0,1,0))</f>
        <v>0</v>
      </c>
      <c r="Q66" s="43">
        <f>IF(F$58/J$39&gt;1,ROUNDUP(F$58/J$39,0),0)</f>
        <v>0</v>
      </c>
      <c r="R66" s="43">
        <f>IF($F$66/J$39&gt;1,ROUNDDOWN(F66/J$39,0),0)</f>
        <v>0</v>
      </c>
      <c r="S66" s="43"/>
      <c r="T66" s="43"/>
      <c r="U66" s="43"/>
      <c r="V66" s="43"/>
      <c r="W66" s="43"/>
      <c r="X66" s="254" t="s">
        <v>753</v>
      </c>
      <c r="Y66" s="255" t="s">
        <v>800</v>
      </c>
      <c r="Z66" s="43"/>
      <c r="AA66" s="21"/>
      <c r="AB66" s="21"/>
      <c r="AC66" s="43"/>
      <c r="AD66" s="43"/>
      <c r="AE66" s="43"/>
      <c r="AF66" s="43"/>
      <c r="AG66" s="43"/>
      <c r="AH66"/>
      <c r="AI66"/>
    </row>
    <row r="67" spans="1:35" ht="15.5" x14ac:dyDescent="0.35">
      <c r="A67" s="43"/>
      <c r="B67" s="43"/>
      <c r="C67" s="43"/>
      <c r="D67" s="81"/>
      <c r="E67" s="43"/>
      <c r="F67" s="66"/>
      <c r="G67" s="43"/>
      <c r="H67" s="43"/>
      <c r="I67" s="43"/>
      <c r="J67" s="43"/>
      <c r="K67" s="43"/>
      <c r="L67" s="43"/>
      <c r="M67" s="67"/>
      <c r="N67" s="67"/>
      <c r="O67" s="43"/>
      <c r="P67" s="43"/>
      <c r="Q67" s="43"/>
      <c r="R67" s="43"/>
      <c r="S67" s="43"/>
      <c r="T67" s="43"/>
      <c r="U67" s="43"/>
      <c r="V67" s="43"/>
      <c r="W67" s="43"/>
      <c r="X67" s="254" t="s">
        <v>755</v>
      </c>
      <c r="Y67" s="255" t="s">
        <v>796</v>
      </c>
      <c r="Z67" s="43"/>
      <c r="AA67" s="21"/>
      <c r="AB67" s="21"/>
      <c r="AC67" s="43"/>
      <c r="AD67" s="43"/>
      <c r="AE67" s="43"/>
      <c r="AF67" s="43"/>
      <c r="AG67" s="43"/>
      <c r="AH67"/>
      <c r="AI67"/>
    </row>
    <row r="68" spans="1:35" ht="15.5" x14ac:dyDescent="0.35">
      <c r="A68" s="43"/>
      <c r="B68" s="43"/>
      <c r="C68" s="43"/>
      <c r="D68" s="43"/>
      <c r="E68" s="43">
        <f>IF('Model Selector'!$D$10="yes",IF($C$48=600,1,0),IF('AccuSine Sizing Tool'!$D$17="x",0,IF('Model Selector'!$D$8&gt;0,IF($C$48=600,1,0),0)))</f>
        <v>0</v>
      </c>
      <c r="F68" s="66">
        <f>E18</f>
        <v>0</v>
      </c>
      <c r="G68" s="43">
        <f>C48</f>
        <v>480</v>
      </c>
      <c r="H68" s="43" t="str">
        <f>S56</f>
        <v/>
      </c>
      <c r="I68" s="43" t="s">
        <v>262</v>
      </c>
      <c r="J68" s="43"/>
      <c r="K68" s="43">
        <f>IF($E68=0,0,INDEX($K$42:$O$46,MATCH(M68,$K$42:$K$46,1),MATCH(H68,$K$42:$O$42,0)))</f>
        <v>0</v>
      </c>
      <c r="L68" s="43">
        <f>IF($E68=0,0,IF(N68=0,0,INDEX($K$42:$O$46,MATCH(N68,$K$42:$K$46,1),MATCH(H68,$K$42:$O$42,0))))</f>
        <v>0</v>
      </c>
      <c r="M68" s="67">
        <f>IF(F68&lt;=J$43,K$43+1,IF(F68&lt;=J$44,K$44+1,IF(F68&lt;=J$45,K$45+1,IF(F68&lt;=J$45,K$46+1,K$46+1))))</f>
        <v>48</v>
      </c>
      <c r="N68" s="67">
        <f>IF(M68=K$46+1,IF(F68-R68*J$46&lt;=0,0,IF(F68-R68*J$46&lt;=J$43,K$43+1,IF(F68-R68*J$46&lt;=J$44,K$44+1,IF(F68-R68*J$46&lt;=J$45,K$45+1,0)))),0)</f>
        <v>0</v>
      </c>
      <c r="O68" s="43">
        <f>IF(E68=0,0,IF(F68&lt;=J$52+J$49,1,IF(F68&lt;2*J$51,2,IF(F68&lt;=J$50+J$52,1,IF(F68&lt;=2*J$52,2,IF(F68&lt;=J$50+J$52,1,IF(F68=J57+J58,1,IF(F68&lt;=2*J$52,2,IF(F68&lt;=2*J$52+J$49,2,IF(F68&lt;=2*J$52+J$50,2,IF(F68&lt;=2*J$52+J$51,2,IF(AND(F68&gt;2*J$52+J$51,F68&lt;=3*J$52),3,IF(F68&lt;=3*J$52+J$51,3,IF(F68&gt;3*J$52+J$51,Q68-P68,0))))))))))))))</f>
        <v>0</v>
      </c>
      <c r="P68" s="43">
        <f>IF(E68=0,0,IF(N68&gt;0,1,0))</f>
        <v>0</v>
      </c>
      <c r="Q68" s="43">
        <f>IF(F$58/J$46&gt;1,ROUNDUP(F$58/J$46,0),0)</f>
        <v>0</v>
      </c>
      <c r="R68" s="43">
        <f>IF($F$68/J$46&gt;1,ROUNDDOWN(F$58/J$46,0),0)</f>
        <v>0</v>
      </c>
      <c r="S68" s="43"/>
      <c r="T68" s="43"/>
      <c r="U68" s="43"/>
      <c r="V68" s="43"/>
      <c r="W68" s="43"/>
      <c r="X68" s="254" t="s">
        <v>755</v>
      </c>
      <c r="Y68" s="255" t="s">
        <v>796</v>
      </c>
      <c r="Z68" s="43"/>
      <c r="AA68" s="21"/>
      <c r="AB68" s="21"/>
      <c r="AC68" s="43"/>
      <c r="AD68" s="43"/>
      <c r="AE68" s="43"/>
      <c r="AF68" s="43"/>
      <c r="AG68" s="43"/>
      <c r="AH68"/>
      <c r="AI68"/>
    </row>
    <row r="69" spans="1:35" ht="15.5" x14ac:dyDescent="0.35">
      <c r="A69" s="43"/>
      <c r="B69" s="43"/>
      <c r="C69" s="43"/>
      <c r="D69" s="43"/>
      <c r="E69" s="43"/>
      <c r="F69" s="66"/>
      <c r="G69" s="43"/>
      <c r="H69" s="43"/>
      <c r="I69" s="43"/>
      <c r="J69" s="43"/>
      <c r="K69" s="43"/>
      <c r="L69" s="43"/>
      <c r="M69" s="67"/>
      <c r="N69" s="67"/>
      <c r="O69" s="43"/>
      <c r="P69" s="43"/>
      <c r="Q69" s="43"/>
      <c r="R69" s="43"/>
      <c r="S69" s="43"/>
      <c r="T69" s="43"/>
      <c r="U69" s="43"/>
      <c r="V69" s="43"/>
      <c r="W69" s="43"/>
      <c r="X69" s="254" t="s">
        <v>754</v>
      </c>
      <c r="Y69" s="255" t="s">
        <v>792</v>
      </c>
      <c r="Z69" s="43"/>
      <c r="AA69" s="47"/>
      <c r="AB69" s="47"/>
      <c r="AC69" s="43"/>
      <c r="AD69" s="43"/>
      <c r="AE69" s="43"/>
      <c r="AF69" s="43"/>
      <c r="AG69" s="43"/>
      <c r="AH69"/>
      <c r="AI69"/>
    </row>
    <row r="70" spans="1:35" ht="15.5" x14ac:dyDescent="0.35">
      <c r="A70" s="43"/>
      <c r="B70" s="43"/>
      <c r="C70" s="43"/>
      <c r="D70" s="43"/>
      <c r="E70" s="43">
        <f>IF('Model Selector'!$D$10="yes",IF($C$48=690,1,0),IF('AccuSine Sizing Tool'!$D$17="x",0,IF('Model Selector'!$D$8&gt;0,IF($C$48=690,1,0),0)))</f>
        <v>0</v>
      </c>
      <c r="F70" s="66">
        <f>E19</f>
        <v>0</v>
      </c>
      <c r="G70" s="43">
        <f>C48</f>
        <v>480</v>
      </c>
      <c r="H70" s="43" t="str">
        <f>S56</f>
        <v/>
      </c>
      <c r="I70" s="43" t="s">
        <v>263</v>
      </c>
      <c r="J70" s="43"/>
      <c r="K70" s="43">
        <f>IF($E70=0,0,INDEX($K$48:$O$52,MATCH(M70,$K$48:$K$52,1),MATCH(H70,$K$48:$O$48,0)))</f>
        <v>0</v>
      </c>
      <c r="L70" s="43">
        <f>IF($E70&gt;0,IF(N70&gt;0,INDEX($K$49:$O$52,MATCH($N$70,$K$49:$K$52,1),MATCH(H70,$K$48:$O$48,0)),0),0)</f>
        <v>0</v>
      </c>
      <c r="M70" s="67">
        <f>IF(F70&lt;=J$49,K$49+1,IF(F70&lt;=J$50,K$50+1,IF(F70&lt;=J$51,K$51+1,IF(F70&lt;=J51,K$52+1,K$52+1))))</f>
        <v>41</v>
      </c>
      <c r="N70" s="67">
        <f>IF(M70=K$52+1,IF(F70-R70*J$52&lt;=0,0,IF(F70-R70*J$52&lt;=J$49,K49+1,IF(F70-R70*J$52&lt;=J$50,K50+1,IF(F70-R70*J$51&lt;=K51+1,K52+1,0)))),0)</f>
        <v>0</v>
      </c>
      <c r="O70" s="43">
        <f>IF(E70=0,0,IF(F70&lt;=J$52+J$49,1,IF(F70&lt;2*J$51,2,IF(F70&lt;=J$50+J$52,1,IF(F70&lt;=2*J$52,2,IF(F70&lt;=J$50+J$52,1,IF(F70&lt;=2*J$52,2,IF(F70&lt;=2*J$52+J$49,2,IF(F70&lt;=2*J$52+J$51,2,IF(F70&lt;=2*J$52+J$51,2,IF(AND(F70&gt;2*J$52+J$51,F70&lt;=3*J$52),3,IF(F70&lt;=3*J$52+J$51,3,IF(F70&gt;3*J$52+J$51,Q70-P70,0)))))))))))))</f>
        <v>0</v>
      </c>
      <c r="P70" s="43">
        <f>IF(E70=0,0,IF(N70&gt;0,1,0))</f>
        <v>0</v>
      </c>
      <c r="Q70" s="43">
        <f>IF(F$58/J$52&gt;1,ROUNDUP(F$58/J$52,0),0)</f>
        <v>0</v>
      </c>
      <c r="R70" s="43">
        <f>IF($F$70/J$52&gt;1,ROUNDDOWN(F$58/J$52,0),0)</f>
        <v>0</v>
      </c>
      <c r="S70" s="43"/>
      <c r="T70" s="43"/>
      <c r="U70" s="43"/>
      <c r="V70" s="43"/>
      <c r="W70" s="43"/>
      <c r="X70" s="254" t="s">
        <v>754</v>
      </c>
      <c r="Y70" s="255" t="s">
        <v>792</v>
      </c>
      <c r="Z70" s="43"/>
      <c r="AA70" s="47"/>
      <c r="AB70" s="47"/>
      <c r="AC70" s="43"/>
      <c r="AD70" s="43"/>
      <c r="AE70" s="43"/>
      <c r="AF70" s="43"/>
      <c r="AG70" s="43"/>
      <c r="AH70"/>
      <c r="AI70"/>
    </row>
    <row r="71" spans="1:35" x14ac:dyDescent="0.25">
      <c r="A71" s="43"/>
      <c r="B71" s="43"/>
      <c r="C71" s="43"/>
      <c r="D71" s="43"/>
      <c r="E71" s="43"/>
      <c r="F71" s="43"/>
      <c r="G71" s="47"/>
      <c r="H71" s="47"/>
      <c r="I71" s="47"/>
      <c r="J71" s="47"/>
      <c r="K71" s="43"/>
      <c r="L71" s="43"/>
      <c r="M71" s="43"/>
      <c r="N71" s="43"/>
      <c r="O71" s="43"/>
      <c r="P71" s="43"/>
      <c r="Q71" s="43"/>
      <c r="R71" s="43"/>
      <c r="S71" s="43"/>
      <c r="T71" s="43"/>
      <c r="U71" s="43"/>
      <c r="V71" s="43"/>
      <c r="W71" s="43"/>
      <c r="X71" s="83" t="s">
        <v>445</v>
      </c>
      <c r="Y71" s="83" t="s">
        <v>545</v>
      </c>
      <c r="Z71" s="43"/>
      <c r="AA71" s="43"/>
      <c r="AB71" s="43"/>
      <c r="AC71" s="43"/>
      <c r="AD71" s="43"/>
      <c r="AE71" s="43"/>
      <c r="AF71" s="43"/>
      <c r="AG71" s="43"/>
      <c r="AH71"/>
      <c r="AI71"/>
    </row>
    <row r="72" spans="1:35" x14ac:dyDescent="0.25">
      <c r="A72" s="43"/>
      <c r="B72" s="43"/>
      <c r="C72" s="43"/>
      <c r="D72" s="43"/>
      <c r="E72" s="43"/>
      <c r="F72" s="43"/>
      <c r="G72" s="47"/>
      <c r="H72" s="47"/>
      <c r="I72" s="47"/>
      <c r="J72" s="70"/>
      <c r="K72" s="43"/>
      <c r="L72" s="43"/>
      <c r="N72" s="43"/>
      <c r="O72" s="43"/>
      <c r="P72" s="43"/>
      <c r="Q72" s="43"/>
      <c r="R72" s="43"/>
      <c r="S72" s="43"/>
      <c r="T72" s="43"/>
      <c r="U72" s="43"/>
      <c r="V72" s="43"/>
      <c r="W72" s="43"/>
      <c r="X72" s="83" t="s">
        <v>446</v>
      </c>
      <c r="Y72" s="83" t="s">
        <v>549</v>
      </c>
      <c r="Z72" s="43"/>
      <c r="AA72" s="43"/>
      <c r="AB72" s="43"/>
      <c r="AC72" s="43"/>
      <c r="AD72" s="43"/>
      <c r="AE72" s="43"/>
      <c r="AF72" s="43"/>
      <c r="AG72" s="43"/>
      <c r="AH72"/>
      <c r="AI72"/>
    </row>
    <row r="73" spans="1:35" x14ac:dyDescent="0.25">
      <c r="A73" s="43"/>
      <c r="B73" s="43"/>
      <c r="C73" s="43"/>
      <c r="D73" s="43"/>
      <c r="M73" s="43"/>
      <c r="N73" s="43"/>
      <c r="O73" s="43"/>
      <c r="P73" s="43"/>
      <c r="Q73" s="43"/>
      <c r="R73" s="43"/>
      <c r="S73" s="43"/>
      <c r="T73" s="43"/>
      <c r="U73" s="43"/>
      <c r="V73" s="43"/>
      <c r="W73" s="43"/>
      <c r="X73" s="83" t="s">
        <v>447</v>
      </c>
      <c r="Y73" s="83" t="s">
        <v>557</v>
      </c>
      <c r="Z73" s="43"/>
      <c r="AA73" s="43"/>
      <c r="AB73" s="43"/>
      <c r="AC73" s="43"/>
      <c r="AD73" s="43"/>
      <c r="AE73" s="43"/>
      <c r="AF73" s="43"/>
      <c r="AG73" s="43"/>
      <c r="AH73"/>
      <c r="AI73"/>
    </row>
    <row r="74" spans="1:35" x14ac:dyDescent="0.25">
      <c r="A74" s="43"/>
      <c r="B74" s="43"/>
      <c r="C74" s="43"/>
      <c r="D74" s="43"/>
      <c r="M74" s="43"/>
      <c r="N74" s="43"/>
      <c r="O74" s="43"/>
      <c r="P74" s="43"/>
      <c r="Q74" s="43"/>
      <c r="R74" s="43"/>
      <c r="S74" s="43"/>
      <c r="T74" s="43"/>
      <c r="U74" s="43"/>
      <c r="V74" s="43"/>
      <c r="W74" s="43"/>
      <c r="X74" s="83" t="s">
        <v>449</v>
      </c>
      <c r="Y74" s="83" t="s">
        <v>561</v>
      </c>
      <c r="Z74" s="43"/>
      <c r="AA74" s="43"/>
      <c r="AB74" s="43"/>
      <c r="AC74" s="43"/>
      <c r="AD74" s="43"/>
      <c r="AE74" s="43"/>
      <c r="AF74" s="43"/>
      <c r="AG74" s="43"/>
      <c r="AH74"/>
      <c r="AI74"/>
    </row>
    <row r="75" spans="1:35" x14ac:dyDescent="0.25">
      <c r="A75" s="43"/>
      <c r="B75" s="43"/>
      <c r="C75" s="43"/>
      <c r="D75" s="43"/>
      <c r="M75" s="43"/>
      <c r="N75" s="43"/>
      <c r="O75" s="43"/>
      <c r="P75" s="43"/>
      <c r="Q75" s="43"/>
      <c r="R75" s="43"/>
      <c r="S75" s="43"/>
      <c r="T75" s="43"/>
      <c r="U75" s="43"/>
      <c r="V75" s="43"/>
      <c r="W75" s="43"/>
      <c r="X75" s="83" t="s">
        <v>448</v>
      </c>
      <c r="Y75" s="83" t="s">
        <v>553</v>
      </c>
      <c r="Z75" s="43"/>
      <c r="AA75" s="43"/>
      <c r="AB75" s="43"/>
      <c r="AC75" s="43"/>
      <c r="AD75" s="43"/>
      <c r="AE75" s="43"/>
      <c r="AF75" s="43"/>
      <c r="AG75" s="43"/>
      <c r="AH75"/>
      <c r="AI75"/>
    </row>
    <row r="76" spans="1:35" x14ac:dyDescent="0.25">
      <c r="A76" s="43"/>
      <c r="B76" s="43"/>
      <c r="C76" s="43"/>
      <c r="D76" s="43"/>
      <c r="M76" s="43"/>
      <c r="N76" s="43"/>
      <c r="O76" s="43"/>
      <c r="P76" s="43"/>
      <c r="Q76" s="43"/>
      <c r="R76" s="43"/>
      <c r="S76" s="43"/>
      <c r="T76" s="43"/>
      <c r="U76" s="43"/>
      <c r="V76" s="43"/>
      <c r="W76" s="43"/>
      <c r="X76" s="20" t="s">
        <v>515</v>
      </c>
      <c r="Y76" s="20" t="s">
        <v>581</v>
      </c>
      <c r="Z76" s="43"/>
      <c r="AA76" s="43"/>
      <c r="AB76" s="43"/>
      <c r="AC76" s="43"/>
      <c r="AD76" s="43"/>
      <c r="AE76" s="43"/>
      <c r="AF76" s="43"/>
      <c r="AG76" s="43"/>
      <c r="AH76"/>
      <c r="AI76"/>
    </row>
    <row r="77" spans="1:35" x14ac:dyDescent="0.25">
      <c r="A77" s="43"/>
      <c r="B77" s="43"/>
      <c r="C77" s="43"/>
      <c r="D77" s="43"/>
      <c r="M77" s="43"/>
      <c r="N77" s="43"/>
      <c r="O77" s="43"/>
      <c r="P77" s="43"/>
      <c r="Q77" s="43"/>
      <c r="R77" s="43"/>
      <c r="S77" s="43"/>
      <c r="T77" s="43"/>
      <c r="U77" s="43"/>
      <c r="V77" s="43"/>
      <c r="W77" s="43"/>
      <c r="X77" s="20" t="s">
        <v>506</v>
      </c>
      <c r="Y77" s="20" t="s">
        <v>590</v>
      </c>
      <c r="Z77" s="43"/>
      <c r="AA77" s="43"/>
      <c r="AB77" s="43"/>
      <c r="AC77" s="43"/>
      <c r="AD77" s="43"/>
      <c r="AE77" s="43"/>
      <c r="AF77" s="43"/>
      <c r="AG77" s="43"/>
      <c r="AH77"/>
      <c r="AI77"/>
    </row>
    <row r="78" spans="1:35" x14ac:dyDescent="0.25">
      <c r="A78" s="43"/>
      <c r="B78" s="43"/>
      <c r="C78" s="43"/>
      <c r="D78" s="43"/>
      <c r="M78" s="43"/>
      <c r="N78" s="43"/>
      <c r="O78" s="43"/>
      <c r="P78" s="43"/>
      <c r="Q78" s="43"/>
      <c r="R78" s="43"/>
      <c r="S78" s="43"/>
      <c r="T78" s="43"/>
      <c r="U78" s="43"/>
      <c r="V78" s="43"/>
      <c r="W78" s="43"/>
      <c r="X78" s="20" t="s">
        <v>505</v>
      </c>
      <c r="Y78" s="20" t="s">
        <v>594</v>
      </c>
      <c r="Z78" s="43"/>
      <c r="AA78" s="43"/>
      <c r="AB78" s="43"/>
      <c r="AC78" s="43"/>
      <c r="AD78" s="43"/>
      <c r="AE78" s="43"/>
      <c r="AF78" s="43"/>
      <c r="AG78" s="43"/>
      <c r="AH78"/>
      <c r="AI78"/>
    </row>
    <row r="79" spans="1:35" x14ac:dyDescent="0.25">
      <c r="A79" s="43"/>
      <c r="B79" s="43"/>
      <c r="C79" s="43"/>
      <c r="D79" s="43"/>
      <c r="M79" s="43"/>
      <c r="N79" s="43"/>
      <c r="O79" s="43"/>
      <c r="P79" s="43"/>
      <c r="Q79" s="43"/>
      <c r="R79" s="43"/>
      <c r="S79" s="43"/>
      <c r="T79" s="43"/>
      <c r="U79" s="43"/>
      <c r="V79" s="43"/>
      <c r="W79" s="43"/>
      <c r="X79" s="20" t="s">
        <v>585</v>
      </c>
      <c r="Y79" s="20" t="s">
        <v>586</v>
      </c>
      <c r="Z79" s="43"/>
      <c r="AA79" s="43"/>
      <c r="AB79" s="43"/>
      <c r="AC79" s="43"/>
      <c r="AD79" s="43"/>
      <c r="AE79" s="43"/>
      <c r="AF79" s="43"/>
      <c r="AG79" s="43"/>
      <c r="AH79"/>
      <c r="AI79"/>
    </row>
    <row r="80" spans="1:35" x14ac:dyDescent="0.25">
      <c r="A80" s="43"/>
      <c r="B80" s="43"/>
      <c r="C80" s="43"/>
      <c r="D80" s="43"/>
      <c r="M80" s="43"/>
      <c r="N80" s="43"/>
      <c r="O80" s="43"/>
      <c r="P80" s="43"/>
      <c r="Q80" s="43"/>
      <c r="R80" s="43"/>
      <c r="S80" s="43"/>
      <c r="T80" s="43"/>
      <c r="U80" s="43"/>
      <c r="V80" s="43"/>
      <c r="W80" s="43"/>
      <c r="X80" s="83" t="s">
        <v>516</v>
      </c>
      <c r="Y80" s="84" t="s">
        <v>667</v>
      </c>
      <c r="Z80" s="43"/>
      <c r="AA80" s="43"/>
      <c r="AB80" s="43"/>
      <c r="AC80" s="43"/>
      <c r="AD80" s="43"/>
      <c r="AE80" s="43"/>
      <c r="AF80" s="43"/>
      <c r="AG80" s="43"/>
      <c r="AH80"/>
      <c r="AI80"/>
    </row>
    <row r="81" spans="1:35" x14ac:dyDescent="0.25">
      <c r="A81" s="43"/>
      <c r="B81" s="43"/>
      <c r="C81" s="43"/>
      <c r="D81" s="43"/>
      <c r="M81" s="43"/>
      <c r="N81" s="43"/>
      <c r="O81" s="43"/>
      <c r="P81" s="43"/>
      <c r="Q81" s="43"/>
      <c r="R81" s="43"/>
      <c r="S81" s="43"/>
      <c r="T81" s="43"/>
      <c r="U81" s="43"/>
      <c r="V81" s="43"/>
      <c r="W81" s="43"/>
      <c r="X81" s="83" t="s">
        <v>492</v>
      </c>
      <c r="Y81" s="84" t="s">
        <v>668</v>
      </c>
      <c r="Z81" s="43"/>
      <c r="AA81" s="43"/>
      <c r="AB81" s="43"/>
      <c r="AC81" s="43"/>
      <c r="AD81" s="43"/>
      <c r="AE81" s="43"/>
      <c r="AF81" s="43"/>
      <c r="AG81" s="43"/>
      <c r="AH81"/>
      <c r="AI81"/>
    </row>
    <row r="82" spans="1:35" x14ac:dyDescent="0.25">
      <c r="A82" s="43"/>
      <c r="B82" s="43"/>
      <c r="C82" s="43"/>
      <c r="D82" s="43"/>
      <c r="M82" s="43"/>
      <c r="N82" s="43"/>
      <c r="O82" s="43"/>
      <c r="P82" s="43"/>
      <c r="Q82" s="43"/>
      <c r="R82" s="43"/>
      <c r="S82" s="43"/>
      <c r="T82" s="43"/>
      <c r="U82" s="43"/>
      <c r="V82" s="43"/>
      <c r="W82" s="43"/>
      <c r="X82" s="83" t="s">
        <v>491</v>
      </c>
      <c r="Y82" s="84" t="s">
        <v>669</v>
      </c>
      <c r="Z82" s="43"/>
      <c r="AA82" s="43"/>
      <c r="AB82" s="43"/>
      <c r="AC82" s="43"/>
      <c r="AD82" s="43"/>
      <c r="AE82" s="43"/>
      <c r="AF82" s="43"/>
      <c r="AG82" s="43"/>
      <c r="AH82"/>
      <c r="AI82"/>
    </row>
    <row r="83" spans="1:35"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83" t="s">
        <v>577</v>
      </c>
      <c r="Y83" s="84" t="s">
        <v>670</v>
      </c>
      <c r="Z83" s="43"/>
      <c r="AA83" s="43"/>
      <c r="AB83" s="43"/>
      <c r="AC83" s="43"/>
      <c r="AD83" s="43"/>
      <c r="AE83" s="43"/>
      <c r="AF83" s="43"/>
      <c r="AG83" s="43"/>
      <c r="AH83"/>
      <c r="AI83"/>
    </row>
    <row r="84" spans="1:35" ht="15.5" x14ac:dyDescent="0.35">
      <c r="A84" s="43"/>
      <c r="B84" s="43"/>
      <c r="C84" s="43"/>
      <c r="D84" s="43"/>
      <c r="E84" s="43"/>
      <c r="F84" s="43"/>
      <c r="G84" s="47"/>
      <c r="H84" s="47"/>
      <c r="I84" s="47"/>
      <c r="J84" s="43"/>
      <c r="K84" s="43"/>
      <c r="L84" s="43"/>
      <c r="M84" s="43"/>
      <c r="N84" s="43"/>
      <c r="O84" s="43"/>
      <c r="P84" s="43"/>
      <c r="Q84" s="43"/>
      <c r="R84" s="43"/>
      <c r="S84" s="43"/>
      <c r="T84" s="43"/>
      <c r="U84" s="43"/>
      <c r="V84" s="43"/>
      <c r="W84" s="43"/>
      <c r="X84" s="254" t="s">
        <v>756</v>
      </c>
      <c r="Y84" s="255" t="s">
        <v>785</v>
      </c>
      <c r="Z84" s="43"/>
      <c r="AA84" s="43"/>
      <c r="AB84" s="43"/>
      <c r="AC84" s="43"/>
      <c r="AD84" s="43"/>
      <c r="AE84" s="43"/>
      <c r="AF84" s="43"/>
      <c r="AG84" s="43"/>
      <c r="AH84"/>
      <c r="AI84"/>
    </row>
    <row r="85" spans="1:35" ht="15.5" x14ac:dyDescent="0.35">
      <c r="A85" s="43"/>
      <c r="B85" s="43"/>
      <c r="C85" s="43"/>
      <c r="D85" s="43"/>
      <c r="J85" s="43"/>
      <c r="K85" s="43"/>
      <c r="L85" s="43"/>
      <c r="M85" s="43"/>
      <c r="N85" s="43"/>
      <c r="O85" s="43"/>
      <c r="P85" s="43"/>
      <c r="Q85" s="43"/>
      <c r="R85" s="43"/>
      <c r="S85" s="43"/>
      <c r="T85" s="43"/>
      <c r="U85" s="43"/>
      <c r="V85" s="43"/>
      <c r="W85" s="43"/>
      <c r="X85" s="254" t="s">
        <v>756</v>
      </c>
      <c r="Y85" s="255" t="s">
        <v>785</v>
      </c>
      <c r="Z85" s="43"/>
      <c r="AA85" s="43"/>
      <c r="AB85" s="43"/>
      <c r="AC85" s="43"/>
      <c r="AD85" s="43"/>
      <c r="AE85" s="43"/>
      <c r="AF85" s="43"/>
      <c r="AG85" s="43"/>
      <c r="AH85"/>
      <c r="AI85"/>
    </row>
    <row r="86" spans="1:35" ht="15.5" x14ac:dyDescent="0.35">
      <c r="A86" s="43"/>
      <c r="B86" s="43"/>
      <c r="C86" s="43"/>
      <c r="D86" s="43"/>
      <c r="E86" s="43"/>
      <c r="F86" s="43"/>
      <c r="G86" s="43"/>
      <c r="H86" s="43"/>
      <c r="I86" s="43"/>
      <c r="J86" s="43"/>
      <c r="K86" s="43"/>
      <c r="L86" s="43"/>
      <c r="M86" s="43"/>
      <c r="N86" s="43"/>
      <c r="O86" s="43"/>
      <c r="P86" s="43"/>
      <c r="Q86" s="43"/>
      <c r="R86" s="43"/>
      <c r="S86" s="43"/>
      <c r="T86" s="43"/>
      <c r="U86" s="43"/>
      <c r="V86" s="43"/>
      <c r="W86" s="43"/>
      <c r="X86" s="254" t="s">
        <v>757</v>
      </c>
      <c r="Y86" s="255" t="s">
        <v>789</v>
      </c>
      <c r="Z86" s="43"/>
      <c r="AA86" s="43"/>
      <c r="AB86" s="43"/>
      <c r="AC86" s="43"/>
      <c r="AD86" s="43"/>
      <c r="AE86" s="43"/>
      <c r="AF86" s="43"/>
      <c r="AG86" s="43"/>
      <c r="AH86"/>
      <c r="AI86"/>
    </row>
    <row r="87" spans="1:35" ht="15.5" x14ac:dyDescent="0.35">
      <c r="A87" s="43"/>
      <c r="B87" s="43"/>
      <c r="C87" s="43"/>
      <c r="D87" s="43"/>
      <c r="E87" s="43"/>
      <c r="F87" s="43"/>
      <c r="G87" s="43"/>
      <c r="H87" s="43"/>
      <c r="I87" s="43"/>
      <c r="J87" s="43"/>
      <c r="K87" s="43"/>
      <c r="L87" s="43"/>
      <c r="M87" s="43"/>
      <c r="N87" s="43"/>
      <c r="O87" s="43"/>
      <c r="P87" s="43"/>
      <c r="Q87" s="43"/>
      <c r="R87" s="43"/>
      <c r="S87" s="43"/>
      <c r="T87" s="43"/>
      <c r="U87" s="43"/>
      <c r="V87" s="43"/>
      <c r="W87" s="43"/>
      <c r="X87" s="254" t="s">
        <v>757</v>
      </c>
      <c r="Y87" s="255" t="s">
        <v>789</v>
      </c>
      <c r="Z87" s="43"/>
      <c r="AA87" s="43"/>
      <c r="AB87" s="43"/>
      <c r="AC87" s="43"/>
      <c r="AD87" s="43"/>
      <c r="AE87" s="43"/>
      <c r="AF87" s="43"/>
      <c r="AG87" s="43"/>
      <c r="AH87"/>
      <c r="AI87"/>
    </row>
    <row r="88" spans="1:35" ht="15.5" x14ac:dyDescent="0.35">
      <c r="A88" s="43"/>
      <c r="B88" s="43"/>
      <c r="C88" s="43"/>
      <c r="D88" s="43"/>
      <c r="E88" s="20" t="s">
        <v>537</v>
      </c>
      <c r="F88" s="20" t="s">
        <v>538</v>
      </c>
      <c r="G88" s="43"/>
      <c r="H88" s="43"/>
      <c r="I88" s="43"/>
      <c r="J88" s="43"/>
      <c r="K88" s="43"/>
      <c r="L88" s="43"/>
      <c r="M88" s="43"/>
      <c r="N88" s="43"/>
      <c r="O88" s="43"/>
      <c r="P88" s="43"/>
      <c r="Q88" s="43"/>
      <c r="R88" s="43"/>
      <c r="S88" s="43"/>
      <c r="T88" s="43"/>
      <c r="U88" s="43"/>
      <c r="V88" s="43"/>
      <c r="W88" s="43"/>
      <c r="X88" s="254" t="s">
        <v>758</v>
      </c>
      <c r="Y88" s="255" t="s">
        <v>801</v>
      </c>
      <c r="Z88" s="43"/>
      <c r="AA88" s="43"/>
      <c r="AB88" s="43"/>
      <c r="AC88" s="43"/>
      <c r="AD88" s="43"/>
      <c r="AE88" s="43"/>
      <c r="AF88" s="43"/>
      <c r="AG88" s="43"/>
      <c r="AH88"/>
      <c r="AI88"/>
    </row>
    <row r="89" spans="1:35" ht="15.5" x14ac:dyDescent="0.35">
      <c r="A89" s="43"/>
      <c r="B89" s="43"/>
      <c r="C89" s="43"/>
      <c r="D89" s="43"/>
      <c r="E89" s="20" t="s">
        <v>539</v>
      </c>
      <c r="F89" s="20" t="s">
        <v>540</v>
      </c>
      <c r="G89" s="43"/>
      <c r="H89" s="43"/>
      <c r="I89" s="43"/>
      <c r="J89" s="43"/>
      <c r="K89" s="43"/>
      <c r="L89" s="43"/>
      <c r="M89" s="43"/>
      <c r="N89" s="43"/>
      <c r="O89" s="43"/>
      <c r="P89" s="43"/>
      <c r="Q89" s="43"/>
      <c r="R89" s="43"/>
      <c r="S89" s="43"/>
      <c r="T89" s="43"/>
      <c r="U89" s="43"/>
      <c r="V89" s="43"/>
      <c r="W89" s="43"/>
      <c r="X89" s="254" t="s">
        <v>758</v>
      </c>
      <c r="Y89" s="255" t="s">
        <v>801</v>
      </c>
      <c r="Z89" s="43"/>
      <c r="AA89" s="43"/>
      <c r="AB89" s="43"/>
      <c r="AC89" s="43"/>
      <c r="AD89" s="43"/>
      <c r="AE89" s="43"/>
      <c r="AF89" s="43"/>
      <c r="AG89" s="43"/>
      <c r="AH89"/>
      <c r="AI89"/>
    </row>
    <row r="90" spans="1:35" ht="15.5" x14ac:dyDescent="0.35">
      <c r="A90" s="43"/>
      <c r="B90" s="43"/>
      <c r="C90" s="43"/>
      <c r="D90" s="43"/>
      <c r="E90" s="20" t="s">
        <v>541</v>
      </c>
      <c r="F90" s="15" t="s">
        <v>542</v>
      </c>
      <c r="G90" s="43"/>
      <c r="H90" s="43"/>
      <c r="I90" s="43"/>
      <c r="J90" s="43"/>
      <c r="K90" s="43"/>
      <c r="L90" s="43"/>
      <c r="M90" s="43"/>
      <c r="N90" s="43"/>
      <c r="O90" s="43"/>
      <c r="P90" s="43"/>
      <c r="Q90" s="43"/>
      <c r="R90" s="43"/>
      <c r="S90" s="43"/>
      <c r="T90" s="43"/>
      <c r="U90" s="43"/>
      <c r="V90" s="43"/>
      <c r="W90" s="43"/>
      <c r="X90" s="254" t="s">
        <v>760</v>
      </c>
      <c r="Y90" s="255" t="s">
        <v>797</v>
      </c>
      <c r="Z90" s="43"/>
      <c r="AA90" s="43"/>
      <c r="AB90" s="43"/>
      <c r="AC90" s="43"/>
      <c r="AD90" s="43"/>
      <c r="AE90" s="43"/>
      <c r="AF90" s="43"/>
      <c r="AG90" s="43"/>
      <c r="AH90"/>
      <c r="AI90"/>
    </row>
    <row r="91" spans="1:35" ht="15.5" x14ac:dyDescent="0.35">
      <c r="A91" s="43"/>
      <c r="B91" s="43"/>
      <c r="C91" s="43"/>
      <c r="D91" s="43"/>
      <c r="E91" s="43"/>
      <c r="F91" s="43"/>
      <c r="G91" s="43"/>
      <c r="H91" s="43"/>
      <c r="I91" s="43"/>
      <c r="J91" s="43"/>
      <c r="K91" s="43"/>
      <c r="L91" s="43"/>
      <c r="M91" s="43"/>
      <c r="N91" s="43"/>
      <c r="O91" s="43"/>
      <c r="P91" s="43"/>
      <c r="Q91" s="43"/>
      <c r="R91" s="43"/>
      <c r="S91" s="43"/>
      <c r="T91" s="43"/>
      <c r="U91" s="43"/>
      <c r="V91" s="43"/>
      <c r="W91" s="43"/>
      <c r="X91" s="254" t="s">
        <v>760</v>
      </c>
      <c r="Y91" s="255" t="s">
        <v>797</v>
      </c>
      <c r="Z91" s="43"/>
      <c r="AA91" s="43"/>
      <c r="AB91" s="43"/>
      <c r="AC91" s="43"/>
      <c r="AD91" s="43"/>
      <c r="AE91" s="43"/>
      <c r="AF91" s="43"/>
      <c r="AG91" s="43"/>
      <c r="AH91"/>
      <c r="AI91"/>
    </row>
    <row r="92" spans="1:35" ht="15.5" x14ac:dyDescent="0.35">
      <c r="A92" s="43"/>
      <c r="B92" s="43"/>
      <c r="C92" s="43"/>
      <c r="D92" s="43"/>
      <c r="E92" s="43"/>
      <c r="F92" s="43"/>
      <c r="G92" s="43"/>
      <c r="H92" s="43"/>
      <c r="I92" s="43"/>
      <c r="J92" s="43"/>
      <c r="K92" s="43"/>
      <c r="L92" s="43"/>
      <c r="M92" s="43"/>
      <c r="N92" s="43"/>
      <c r="O92" s="43"/>
      <c r="P92" s="43"/>
      <c r="Q92" s="43"/>
      <c r="R92" s="43"/>
      <c r="S92" s="43"/>
      <c r="T92" s="43"/>
      <c r="U92" s="43"/>
      <c r="V92" s="43"/>
      <c r="W92" s="43"/>
      <c r="X92" s="254" t="s">
        <v>759</v>
      </c>
      <c r="Y92" s="255" t="s">
        <v>793</v>
      </c>
      <c r="Z92" s="43"/>
      <c r="AA92" s="43"/>
      <c r="AB92" s="43"/>
      <c r="AC92" s="43"/>
      <c r="AD92" s="43"/>
      <c r="AE92" s="43"/>
      <c r="AF92" s="43"/>
      <c r="AG92" s="43"/>
      <c r="AH92"/>
      <c r="AI92"/>
    </row>
    <row r="93" spans="1:35" ht="15.5" x14ac:dyDescent="0.35">
      <c r="A93" s="43"/>
      <c r="B93" s="43"/>
      <c r="C93" s="43"/>
      <c r="D93" s="43"/>
      <c r="E93" s="43"/>
      <c r="F93" s="43"/>
      <c r="G93" s="43"/>
      <c r="H93" s="43"/>
      <c r="I93" s="43"/>
      <c r="J93" s="43"/>
      <c r="K93" s="43"/>
      <c r="L93" s="43"/>
      <c r="M93" s="43"/>
      <c r="N93" s="43"/>
      <c r="O93" s="43"/>
      <c r="P93" s="43"/>
      <c r="Q93" s="43"/>
      <c r="R93" s="43"/>
      <c r="S93" s="43"/>
      <c r="T93" s="43"/>
      <c r="U93" s="43"/>
      <c r="V93" s="43"/>
      <c r="W93" s="43"/>
      <c r="X93" s="254" t="s">
        <v>759</v>
      </c>
      <c r="Y93" s="255" t="s">
        <v>793</v>
      </c>
      <c r="Z93" s="43"/>
      <c r="AA93" s="43"/>
      <c r="AB93" s="43"/>
      <c r="AC93" s="43"/>
      <c r="AD93" s="43"/>
      <c r="AE93" s="43"/>
      <c r="AF93" s="43"/>
      <c r="AG93" s="43"/>
      <c r="AH93"/>
      <c r="AI93"/>
    </row>
    <row r="94" spans="1:35" ht="15.5" x14ac:dyDescent="0.25">
      <c r="A94" s="43"/>
      <c r="B94" s="43"/>
      <c r="C94" s="43"/>
      <c r="D94" s="82" t="s">
        <v>600</v>
      </c>
      <c r="E94" s="72" t="b">
        <f>IF('Model Selector'!D$17="x",IF('Model Selector'!E$27="PCSP060D5IP00",'Mod Sel Calcs'!E$88,IF('Model Selector'!E$27="PCSP120D5IP00",'Mod Sel Calcs'!E$89,IF('Model Selector'!E$27="PCSP200D5IP00",'Mod Sel Calcs'!E$90,IF('Model Selector'!E$27="PCSP300D5IP00",'Mod Sel Calcs'!E$90,0)))))</f>
        <v>0</v>
      </c>
      <c r="F94" s="43"/>
      <c r="G94" s="43"/>
      <c r="H94" s="43"/>
      <c r="I94" s="43"/>
      <c r="J94" s="43"/>
      <c r="K94" s="43"/>
      <c r="L94" s="43"/>
      <c r="M94" s="43"/>
      <c r="N94" s="43"/>
      <c r="O94" s="43"/>
      <c r="P94" s="43"/>
      <c r="Q94" s="43"/>
      <c r="R94" s="43"/>
      <c r="S94" s="43"/>
      <c r="T94" s="43"/>
      <c r="U94" s="43"/>
      <c r="V94" s="43"/>
      <c r="W94" s="43"/>
      <c r="X94" s="83" t="s">
        <v>450</v>
      </c>
      <c r="Y94" s="83" t="s">
        <v>546</v>
      </c>
      <c r="Z94" s="43"/>
      <c r="AA94" s="43"/>
      <c r="AB94" s="43"/>
      <c r="AC94" s="43"/>
      <c r="AD94" s="43"/>
      <c r="AE94" s="43"/>
      <c r="AF94" s="43"/>
      <c r="AG94" s="43"/>
      <c r="AH94"/>
      <c r="AI94"/>
    </row>
    <row r="95" spans="1:35" ht="15.5" x14ac:dyDescent="0.25">
      <c r="A95" s="43"/>
      <c r="B95" s="43"/>
      <c r="C95" s="43"/>
      <c r="D95" s="43"/>
      <c r="E95" s="72" t="b">
        <f>IF('Model Selector'!D$17="x",IF('Model Selector'!E$27="EVCP060D5IP00",'Mod Sel Calcs'!E$88,IF('Model Selector'!E$27="EVCP120D5IP00",'Mod Sel Calcs'!E$89,IF('Model Selector'!E$27="EVCP200D5IP00",'Mod Sel Calcs'!E$90,IF('Model Selector'!E$27="EVCP300D5IP00",'Mod Sel Calcs'!E$90,0)))))</f>
        <v>0</v>
      </c>
      <c r="F95" s="43"/>
      <c r="G95" s="43"/>
      <c r="H95" s="43"/>
      <c r="I95" s="43"/>
      <c r="J95" s="43"/>
      <c r="K95" s="43"/>
      <c r="L95" s="43"/>
      <c r="M95" s="43"/>
      <c r="N95" s="43"/>
      <c r="O95" s="43"/>
      <c r="P95" s="43"/>
      <c r="Q95" s="43"/>
      <c r="R95" s="43"/>
      <c r="S95" s="43"/>
      <c r="T95" s="43"/>
      <c r="U95" s="43"/>
      <c r="V95" s="43"/>
      <c r="W95" s="43"/>
      <c r="X95" s="83" t="s">
        <v>451</v>
      </c>
      <c r="Y95" s="83" t="s">
        <v>550</v>
      </c>
      <c r="Z95" s="43"/>
      <c r="AA95" s="43"/>
      <c r="AB95" s="43"/>
      <c r="AC95" s="43"/>
      <c r="AD95" s="43"/>
      <c r="AE95" s="43"/>
      <c r="AF95" s="43"/>
      <c r="AG95" s="43"/>
      <c r="AH95"/>
      <c r="AI95"/>
    </row>
    <row r="96" spans="1:35"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83" t="s">
        <v>452</v>
      </c>
      <c r="Y96" s="83" t="s">
        <v>558</v>
      </c>
      <c r="Z96" s="43"/>
      <c r="AA96" s="43"/>
      <c r="AB96" s="43"/>
      <c r="AC96" s="43"/>
      <c r="AD96" s="43"/>
      <c r="AE96" s="43"/>
      <c r="AF96" s="43"/>
      <c r="AG96" s="43"/>
      <c r="AH96"/>
      <c r="AI96"/>
    </row>
    <row r="97" spans="1:35" ht="15.5" x14ac:dyDescent="0.25">
      <c r="A97" s="43"/>
      <c r="B97" s="43"/>
      <c r="C97" s="43"/>
      <c r="D97" s="82" t="s">
        <v>601</v>
      </c>
      <c r="E97" s="72" t="b">
        <f>IF('Model Selector'!D$17="x",IF('Model Selector'!E$28="PCSP060D5IP00",'Mod Sel Calcs'!E$88,IF('Model Selector'!E$28="PCSP120D5IP00",'Mod Sel Calcs'!E$89,IF('Model Selector'!E$28="PCSP200D5IP00",'Mod Sel Calcs'!E$90,IF('Model Selector'!E$28="PCSP300D5IP00",'Mod Sel Calcs'!E$90,0)))))</f>
        <v>0</v>
      </c>
      <c r="F97" s="43"/>
      <c r="G97" s="43"/>
      <c r="H97" s="43"/>
      <c r="I97" s="43"/>
      <c r="J97" s="43"/>
      <c r="K97" s="43"/>
      <c r="L97" s="43"/>
      <c r="M97" s="43"/>
      <c r="N97" s="43"/>
      <c r="O97" s="43"/>
      <c r="P97" s="43"/>
      <c r="Q97" s="43"/>
      <c r="R97" s="43"/>
      <c r="S97" s="43"/>
      <c r="T97" s="43"/>
      <c r="U97" s="43"/>
      <c r="V97" s="43"/>
      <c r="W97" s="43"/>
      <c r="X97" s="83" t="s">
        <v>454</v>
      </c>
      <c r="Y97" s="83" t="s">
        <v>562</v>
      </c>
      <c r="Z97" s="43"/>
      <c r="AA97" s="43"/>
      <c r="AB97" s="43"/>
      <c r="AC97" s="43"/>
      <c r="AD97" s="43"/>
      <c r="AE97" s="43"/>
      <c r="AF97" s="43"/>
      <c r="AG97" s="43"/>
      <c r="AH97"/>
      <c r="AI97"/>
    </row>
    <row r="98" spans="1:35" ht="15.5" x14ac:dyDescent="0.25">
      <c r="A98" s="43"/>
      <c r="B98" s="43"/>
      <c r="C98" s="43"/>
      <c r="D98" s="43"/>
      <c r="E98" s="72" t="b">
        <f>IF('Model Selector'!D$17="x",IF('Model Selector'!E$28="EVCP060D5IP00",'Mod Sel Calcs'!E$88,IF('Model Selector'!E$28="EVCP120D5IP00",'Mod Sel Calcs'!E$89,IF('Model Selector'!E$28="EVCP200D5IP00",'Mod Sel Calcs'!E$90,IF('Model Selector'!E$28="EVCP300D5IP00",'Mod Sel Calcs'!E$90,0)))))</f>
        <v>0</v>
      </c>
      <c r="F98" s="43"/>
      <c r="G98" s="43"/>
      <c r="H98" s="43"/>
      <c r="I98" s="43"/>
      <c r="J98" s="43"/>
      <c r="K98" s="43"/>
      <c r="L98" s="43"/>
      <c r="M98" s="43"/>
      <c r="N98" s="43"/>
      <c r="O98" s="43"/>
      <c r="P98" s="43"/>
      <c r="Q98" s="43"/>
      <c r="R98" s="43"/>
      <c r="S98" s="43"/>
      <c r="T98" s="43"/>
      <c r="U98" s="43"/>
      <c r="V98" s="43"/>
      <c r="W98" s="43"/>
      <c r="X98" s="83" t="s">
        <v>453</v>
      </c>
      <c r="Y98" s="83" t="s">
        <v>554</v>
      </c>
      <c r="Z98" s="43"/>
      <c r="AA98" s="43"/>
      <c r="AB98" s="43"/>
      <c r="AC98" s="43"/>
      <c r="AD98" s="43"/>
      <c r="AE98" s="43"/>
      <c r="AF98" s="43"/>
      <c r="AG98" s="43"/>
      <c r="AH98"/>
      <c r="AI98"/>
    </row>
    <row r="99" spans="1:35"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20" t="s">
        <v>468</v>
      </c>
      <c r="Y99" s="20" t="s">
        <v>567</v>
      </c>
      <c r="Z99" s="43"/>
      <c r="AA99" s="43"/>
      <c r="AB99" s="43"/>
      <c r="AC99" s="43"/>
      <c r="AD99" s="43"/>
      <c r="AE99" s="43"/>
      <c r="AF99" s="43"/>
      <c r="AG99" s="43"/>
      <c r="AH99"/>
      <c r="AI99"/>
    </row>
    <row r="100" spans="1:35"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15" t="s">
        <v>470</v>
      </c>
      <c r="Y100" s="15" t="s">
        <v>608</v>
      </c>
      <c r="Z100" s="43"/>
      <c r="AA100" s="43"/>
      <c r="AB100" s="43"/>
      <c r="AC100" s="43"/>
      <c r="AD100" s="43"/>
      <c r="AE100" s="43"/>
      <c r="AF100" s="43"/>
      <c r="AG100" s="43"/>
      <c r="AH100"/>
      <c r="AI100"/>
    </row>
    <row r="101" spans="1:35"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15" t="s">
        <v>469</v>
      </c>
      <c r="Y101" s="15" t="s">
        <v>609</v>
      </c>
      <c r="Z101" s="43"/>
      <c r="AA101" s="43"/>
      <c r="AB101" s="43"/>
      <c r="AC101" s="43"/>
      <c r="AD101" s="43"/>
      <c r="AE101" s="43"/>
      <c r="AF101" s="43"/>
      <c r="AG101" s="43"/>
      <c r="AH101"/>
      <c r="AI101"/>
    </row>
    <row r="102" spans="1:35"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20" t="s">
        <v>467</v>
      </c>
      <c r="Y102" s="20" t="s">
        <v>572</v>
      </c>
      <c r="Z102" s="43"/>
      <c r="AA102" s="43"/>
      <c r="AB102" s="43"/>
      <c r="AC102" s="43"/>
      <c r="AD102" s="43"/>
      <c r="AE102" s="43"/>
      <c r="AF102" s="43"/>
      <c r="AG102" s="43"/>
      <c r="AH102"/>
      <c r="AI102"/>
    </row>
    <row r="103" spans="1:35"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20" t="s">
        <v>563</v>
      </c>
      <c r="Y103" s="20" t="s">
        <v>671</v>
      </c>
      <c r="Z103" s="43"/>
      <c r="AA103" s="43"/>
      <c r="AB103" s="43"/>
      <c r="AC103" s="43"/>
      <c r="AD103" s="43"/>
      <c r="AE103" s="43"/>
      <c r="AF103" s="43"/>
      <c r="AG103" s="43"/>
      <c r="AH103"/>
      <c r="AI103"/>
    </row>
    <row r="104" spans="1:35"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20" t="s">
        <v>457</v>
      </c>
      <c r="Y104" s="20" t="s">
        <v>672</v>
      </c>
      <c r="Z104" s="43"/>
      <c r="AA104" s="43"/>
      <c r="AB104" s="43"/>
      <c r="AC104" s="43"/>
      <c r="AD104" s="43"/>
      <c r="AE104" s="43"/>
      <c r="AF104" s="43"/>
      <c r="AG104" s="43"/>
      <c r="AH104"/>
      <c r="AI104"/>
    </row>
    <row r="105" spans="1:35"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20" t="s">
        <v>456</v>
      </c>
      <c r="Y105" s="20" t="s">
        <v>673</v>
      </c>
      <c r="Z105" s="43"/>
      <c r="AA105" s="43"/>
      <c r="AB105" s="43"/>
      <c r="AC105" s="43"/>
      <c r="AD105" s="43"/>
      <c r="AE105" s="43"/>
      <c r="AF105" s="43"/>
      <c r="AG105" s="43"/>
      <c r="AH105"/>
      <c r="AI105"/>
    </row>
    <row r="106" spans="1:35"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20" t="s">
        <v>455</v>
      </c>
      <c r="Y106" s="20" t="s">
        <v>674</v>
      </c>
      <c r="Z106" s="43"/>
      <c r="AA106" s="43"/>
      <c r="AB106" s="43"/>
      <c r="AC106" s="43"/>
      <c r="AD106" s="43"/>
      <c r="AE106" s="43"/>
      <c r="AF106" s="43"/>
      <c r="AG106" s="43"/>
      <c r="AH106"/>
      <c r="AI106"/>
    </row>
    <row r="107" spans="1:35" ht="15.5" x14ac:dyDescent="0.3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254" t="s">
        <v>721</v>
      </c>
      <c r="Y107" s="255" t="s">
        <v>762</v>
      </c>
      <c r="Z107" s="43"/>
      <c r="AA107" s="43"/>
      <c r="AB107" s="43"/>
      <c r="AC107" s="43"/>
      <c r="AD107" s="43"/>
      <c r="AE107" s="43"/>
      <c r="AF107" s="43"/>
      <c r="AG107" s="43"/>
      <c r="AH107"/>
      <c r="AI107"/>
    </row>
    <row r="108" spans="1:35" ht="15.5" x14ac:dyDescent="0.3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254" t="s">
        <v>721</v>
      </c>
      <c r="Y108" s="255" t="s">
        <v>762</v>
      </c>
      <c r="Z108" s="43"/>
      <c r="AA108" s="43"/>
      <c r="AB108" s="43"/>
      <c r="AC108" s="43"/>
      <c r="AD108" s="43"/>
      <c r="AE108" s="43"/>
      <c r="AF108" s="43"/>
      <c r="AG108" s="43"/>
      <c r="AH108"/>
      <c r="AI108"/>
    </row>
    <row r="109" spans="1:35" ht="15.5" x14ac:dyDescent="0.3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254" t="s">
        <v>722</v>
      </c>
      <c r="Y109" s="255" t="s">
        <v>766</v>
      </c>
      <c r="Z109" s="43"/>
      <c r="AA109" s="43"/>
      <c r="AB109" s="43"/>
      <c r="AC109" s="43"/>
      <c r="AD109" s="43"/>
      <c r="AE109" s="43"/>
      <c r="AF109" s="43"/>
      <c r="AG109" s="43"/>
      <c r="AH109"/>
      <c r="AI109"/>
    </row>
    <row r="110" spans="1:35" ht="15.5" x14ac:dyDescent="0.3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254" t="s">
        <v>722</v>
      </c>
      <c r="Y110" s="255" t="s">
        <v>766</v>
      </c>
      <c r="Z110" s="43"/>
      <c r="AA110" s="43"/>
      <c r="AB110" s="43"/>
      <c r="AC110" s="43"/>
      <c r="AD110" s="43"/>
      <c r="AE110" s="43"/>
      <c r="AF110" s="43"/>
      <c r="AG110" s="43"/>
      <c r="AH110"/>
      <c r="AI110"/>
    </row>
    <row r="111" spans="1:35" ht="15.5" x14ac:dyDescent="0.3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254" t="s">
        <v>723</v>
      </c>
      <c r="Y111" s="255" t="s">
        <v>778</v>
      </c>
      <c r="Z111" s="43"/>
      <c r="AA111" s="43"/>
      <c r="AB111" s="43"/>
      <c r="AC111" s="43"/>
      <c r="AD111" s="43"/>
      <c r="AE111" s="43"/>
      <c r="AF111" s="43"/>
      <c r="AG111" s="43"/>
      <c r="AH111"/>
      <c r="AI111"/>
    </row>
    <row r="112" spans="1:35" ht="15.5" x14ac:dyDescent="0.3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254" t="s">
        <v>723</v>
      </c>
      <c r="Y112" s="255" t="s">
        <v>778</v>
      </c>
      <c r="Z112" s="43"/>
      <c r="AA112" s="43"/>
      <c r="AB112" s="43"/>
      <c r="AC112" s="43"/>
      <c r="AD112" s="43"/>
      <c r="AE112" s="43"/>
      <c r="AF112" s="43"/>
      <c r="AG112" s="43"/>
      <c r="AH112"/>
      <c r="AI112"/>
    </row>
    <row r="113" spans="1:35" ht="15.5" x14ac:dyDescent="0.3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254" t="s">
        <v>725</v>
      </c>
      <c r="Y113" s="255" t="s">
        <v>774</v>
      </c>
      <c r="Z113" s="43"/>
      <c r="AA113" s="43"/>
      <c r="AB113" s="43"/>
      <c r="AC113" s="43"/>
      <c r="AD113" s="43"/>
      <c r="AE113" s="43"/>
      <c r="AF113" s="43"/>
      <c r="AG113" s="43"/>
      <c r="AH113"/>
      <c r="AI113"/>
    </row>
    <row r="114" spans="1:35" ht="15.5" x14ac:dyDescent="0.3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254" t="s">
        <v>725</v>
      </c>
      <c r="Y114" s="255" t="s">
        <v>774</v>
      </c>
      <c r="Z114" s="43"/>
      <c r="AA114" s="43"/>
      <c r="AB114" s="43"/>
      <c r="AC114" s="43"/>
      <c r="AD114" s="43"/>
      <c r="AE114" s="43"/>
      <c r="AF114" s="43"/>
      <c r="AG114" s="43"/>
      <c r="AH114"/>
      <c r="AI114"/>
    </row>
    <row r="115" spans="1:35" ht="15.5" x14ac:dyDescent="0.3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254" t="s">
        <v>724</v>
      </c>
      <c r="Y115" s="255" t="s">
        <v>770</v>
      </c>
      <c r="Z115" s="43"/>
      <c r="AA115" s="43"/>
      <c r="AB115" s="43"/>
      <c r="AC115" s="43"/>
      <c r="AD115" s="43"/>
      <c r="AE115" s="43"/>
      <c r="AF115" s="43"/>
      <c r="AG115" s="43"/>
      <c r="AH115"/>
      <c r="AI115"/>
    </row>
    <row r="116" spans="1:35" ht="15.5" x14ac:dyDescent="0.3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254" t="s">
        <v>724</v>
      </c>
      <c r="Y116" s="255" t="s">
        <v>770</v>
      </c>
      <c r="Z116" s="43"/>
      <c r="AA116" s="43"/>
      <c r="AB116" s="43"/>
      <c r="AC116" s="43"/>
      <c r="AD116" s="43"/>
      <c r="AE116" s="43"/>
      <c r="AF116" s="43"/>
      <c r="AG116" s="43"/>
      <c r="AH116"/>
      <c r="AI116"/>
    </row>
    <row r="117" spans="1:35"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20" t="s">
        <v>415</v>
      </c>
      <c r="Y117" s="20" t="s">
        <v>517</v>
      </c>
      <c r="Z117" s="43"/>
      <c r="AA117" s="43"/>
      <c r="AB117" s="43"/>
      <c r="AC117" s="43"/>
      <c r="AD117" s="43"/>
      <c r="AE117" s="43"/>
      <c r="AF117" s="43"/>
      <c r="AG117" s="43"/>
      <c r="AH117"/>
      <c r="AI117"/>
    </row>
    <row r="118" spans="1:35"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20" t="s">
        <v>420</v>
      </c>
      <c r="Y118" s="20" t="s">
        <v>521</v>
      </c>
      <c r="Z118" s="43"/>
      <c r="AA118" s="43"/>
      <c r="AB118" s="43"/>
      <c r="AC118" s="43"/>
      <c r="AD118" s="43"/>
      <c r="AE118" s="43"/>
      <c r="AF118" s="43"/>
      <c r="AG118" s="43"/>
      <c r="AH118"/>
      <c r="AI118"/>
    </row>
    <row r="119" spans="1:35"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20" t="s">
        <v>424</v>
      </c>
      <c r="Y119" s="20" t="s">
        <v>529</v>
      </c>
      <c r="Z119" s="43"/>
      <c r="AA119" s="43"/>
      <c r="AB119" s="43"/>
      <c r="AC119" s="43"/>
      <c r="AD119" s="43"/>
      <c r="AE119" s="43"/>
      <c r="AF119" s="43"/>
      <c r="AG119" s="43"/>
      <c r="AH119"/>
      <c r="AI119"/>
    </row>
    <row r="120" spans="1:35"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20" t="s">
        <v>432</v>
      </c>
      <c r="Y120" s="20" t="s">
        <v>533</v>
      </c>
      <c r="Z120" s="43"/>
      <c r="AA120" s="43"/>
      <c r="AB120" s="43"/>
      <c r="AC120" s="43"/>
      <c r="AD120" s="43"/>
      <c r="AE120" s="43"/>
      <c r="AF120" s="43"/>
      <c r="AG120" s="43"/>
      <c r="AH120"/>
      <c r="AI120"/>
    </row>
    <row r="121" spans="1:35"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20" t="s">
        <v>428</v>
      </c>
      <c r="Y121" s="20" t="s">
        <v>525</v>
      </c>
      <c r="Z121" s="43"/>
      <c r="AA121" s="43"/>
      <c r="AB121" s="43"/>
      <c r="AC121" s="43"/>
      <c r="AD121" s="43"/>
      <c r="AE121" s="43"/>
      <c r="AF121" s="43"/>
      <c r="AG121" s="43"/>
      <c r="AH121"/>
      <c r="AI121"/>
    </row>
    <row r="122" spans="1:35"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20" t="s">
        <v>472</v>
      </c>
      <c r="Y122" s="20" t="s">
        <v>568</v>
      </c>
      <c r="Z122" s="43"/>
      <c r="AA122" s="43"/>
      <c r="AB122" s="43"/>
      <c r="AC122" s="43"/>
      <c r="AD122" s="43"/>
      <c r="AE122" s="43"/>
      <c r="AF122" s="43"/>
      <c r="AG122" s="43"/>
      <c r="AH122"/>
      <c r="AI122"/>
    </row>
    <row r="123" spans="1:35"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15" t="s">
        <v>474</v>
      </c>
      <c r="Y123" s="15" t="s">
        <v>610</v>
      </c>
      <c r="Z123" s="43"/>
      <c r="AA123" s="43"/>
      <c r="AB123" s="43"/>
      <c r="AC123" s="43"/>
      <c r="AD123" s="43"/>
      <c r="AE123" s="43"/>
      <c r="AF123" s="43"/>
      <c r="AG123" s="43"/>
      <c r="AH123"/>
      <c r="AI123"/>
    </row>
    <row r="124" spans="1:35"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15" t="s">
        <v>473</v>
      </c>
      <c r="Y124" s="15" t="s">
        <v>611</v>
      </c>
      <c r="Z124" s="43"/>
      <c r="AA124" s="43"/>
      <c r="AB124" s="43"/>
      <c r="AC124" s="43"/>
      <c r="AD124" s="43"/>
      <c r="AE124" s="43"/>
      <c r="AF124" s="43"/>
      <c r="AG124" s="43"/>
      <c r="AH124"/>
      <c r="AI124"/>
    </row>
    <row r="125" spans="1:35"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20" t="s">
        <v>471</v>
      </c>
      <c r="Y125" s="20" t="s">
        <v>573</v>
      </c>
      <c r="Z125" s="43"/>
      <c r="AA125" s="43"/>
      <c r="AB125" s="43"/>
      <c r="AC125" s="43"/>
      <c r="AD125" s="43"/>
      <c r="AE125" s="43"/>
      <c r="AF125" s="43"/>
      <c r="AG125" s="43"/>
      <c r="AH125"/>
      <c r="AI125"/>
    </row>
    <row r="126" spans="1:35"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20" t="s">
        <v>459</v>
      </c>
      <c r="Y126" s="20" t="s">
        <v>675</v>
      </c>
      <c r="Z126" s="43"/>
      <c r="AA126" s="43"/>
      <c r="AB126" s="43"/>
      <c r="AC126" s="43"/>
      <c r="AD126" s="43"/>
      <c r="AE126" s="43"/>
      <c r="AF126" s="43"/>
      <c r="AG126" s="43"/>
      <c r="AH126"/>
      <c r="AI126"/>
    </row>
    <row r="127" spans="1:35"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20" t="s">
        <v>461</v>
      </c>
      <c r="Y127" s="20" t="s">
        <v>676</v>
      </c>
      <c r="Z127" s="43"/>
      <c r="AA127" s="43"/>
      <c r="AB127" s="43"/>
      <c r="AC127" s="43"/>
      <c r="AD127" s="43"/>
      <c r="AE127" s="43"/>
      <c r="AF127" s="43"/>
      <c r="AG127" s="43"/>
      <c r="AH127"/>
      <c r="AI127"/>
    </row>
    <row r="128" spans="1:35"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20" t="s">
        <v>460</v>
      </c>
      <c r="Y128" s="20" t="s">
        <v>677</v>
      </c>
      <c r="Z128" s="43"/>
      <c r="AA128" s="43"/>
      <c r="AB128" s="43"/>
      <c r="AC128" s="43"/>
      <c r="AD128" s="43"/>
      <c r="AE128" s="43"/>
      <c r="AF128" s="43"/>
      <c r="AG128" s="43"/>
      <c r="AH128"/>
      <c r="AI128"/>
    </row>
    <row r="129" spans="1:35"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20" t="s">
        <v>458</v>
      </c>
      <c r="Y129" s="20" t="s">
        <v>678</v>
      </c>
      <c r="Z129" s="43"/>
      <c r="AA129" s="43"/>
      <c r="AB129" s="43"/>
      <c r="AC129" s="43"/>
      <c r="AD129" s="43"/>
      <c r="AE129" s="43"/>
      <c r="AF129" s="43"/>
      <c r="AG129" s="43"/>
      <c r="AH129"/>
      <c r="AI129"/>
    </row>
    <row r="130" spans="1:35" ht="15.5" x14ac:dyDescent="0.3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254" t="s">
        <v>726</v>
      </c>
      <c r="Y130" s="255" t="s">
        <v>763</v>
      </c>
      <c r="Z130" s="43"/>
      <c r="AA130" s="43"/>
      <c r="AB130" s="43"/>
      <c r="AC130" s="43"/>
      <c r="AD130" s="43"/>
      <c r="AE130" s="43"/>
      <c r="AF130" s="43"/>
      <c r="AG130" s="43"/>
      <c r="AH130"/>
      <c r="AI130"/>
    </row>
    <row r="131" spans="1:35" ht="15.5" x14ac:dyDescent="0.3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254" t="s">
        <v>726</v>
      </c>
      <c r="Y131" s="255" t="s">
        <v>763</v>
      </c>
      <c r="Z131" s="43"/>
      <c r="AA131" s="43"/>
      <c r="AB131" s="43"/>
      <c r="AC131" s="43"/>
      <c r="AD131" s="43"/>
      <c r="AE131" s="43"/>
      <c r="AF131" s="43"/>
      <c r="AG131" s="43"/>
      <c r="AH131"/>
      <c r="AI131"/>
    </row>
    <row r="132" spans="1:35" ht="15.5" x14ac:dyDescent="0.3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254" t="s">
        <v>727</v>
      </c>
      <c r="Y132" s="255" t="s">
        <v>767</v>
      </c>
      <c r="Z132" s="43"/>
      <c r="AA132" s="43"/>
      <c r="AB132" s="43"/>
      <c r="AC132" s="43"/>
      <c r="AD132" s="43"/>
      <c r="AE132" s="43"/>
      <c r="AF132" s="43"/>
      <c r="AG132" s="43"/>
      <c r="AH132"/>
      <c r="AI132"/>
    </row>
    <row r="133" spans="1:35" ht="15.5" x14ac:dyDescent="0.3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254" t="s">
        <v>727</v>
      </c>
      <c r="Y133" s="255" t="s">
        <v>767</v>
      </c>
      <c r="Z133" s="43"/>
      <c r="AA133" s="43"/>
      <c r="AB133" s="43"/>
      <c r="AC133" s="43"/>
      <c r="AD133" s="43"/>
      <c r="AE133" s="43"/>
      <c r="AF133" s="43"/>
      <c r="AG133" s="43"/>
      <c r="AH133"/>
      <c r="AI133"/>
    </row>
    <row r="134" spans="1:35" ht="15.5" x14ac:dyDescent="0.3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254" t="s">
        <v>728</v>
      </c>
      <c r="Y134" s="255" t="s">
        <v>779</v>
      </c>
      <c r="Z134" s="43"/>
      <c r="AA134" s="43"/>
      <c r="AB134" s="43"/>
      <c r="AC134" s="43"/>
      <c r="AD134" s="43"/>
      <c r="AE134" s="43"/>
      <c r="AF134" s="43"/>
      <c r="AG134" s="43"/>
      <c r="AH134"/>
      <c r="AI134"/>
    </row>
    <row r="135" spans="1:35" ht="15.5" x14ac:dyDescent="0.35">
      <c r="X135" s="254" t="s">
        <v>728</v>
      </c>
      <c r="Y135" s="255" t="s">
        <v>779</v>
      </c>
    </row>
    <row r="136" spans="1:35" ht="15.5" x14ac:dyDescent="0.35">
      <c r="X136" s="254" t="s">
        <v>730</v>
      </c>
      <c r="Y136" s="255" t="s">
        <v>775</v>
      </c>
    </row>
    <row r="137" spans="1:35" ht="15.5" x14ac:dyDescent="0.35">
      <c r="X137" s="254" t="s">
        <v>730</v>
      </c>
      <c r="Y137" s="255" t="s">
        <v>775</v>
      </c>
    </row>
    <row r="138" spans="1:35" ht="15.5" x14ac:dyDescent="0.35">
      <c r="X138" s="254" t="s">
        <v>729</v>
      </c>
      <c r="Y138" s="255" t="s">
        <v>771</v>
      </c>
    </row>
    <row r="139" spans="1:35" ht="15.5" x14ac:dyDescent="0.35">
      <c r="X139" s="254" t="s">
        <v>729</v>
      </c>
      <c r="Y139" s="255" t="s">
        <v>771</v>
      </c>
    </row>
    <row r="140" spans="1:35" x14ac:dyDescent="0.25">
      <c r="X140" s="20" t="s">
        <v>417</v>
      </c>
      <c r="Y140" s="20" t="s">
        <v>518</v>
      </c>
    </row>
    <row r="141" spans="1:35" x14ac:dyDescent="0.25">
      <c r="X141" s="20" t="s">
        <v>421</v>
      </c>
      <c r="Y141" s="20" t="s">
        <v>522</v>
      </c>
    </row>
    <row r="142" spans="1:35" x14ac:dyDescent="0.25">
      <c r="X142" s="20" t="s">
        <v>427</v>
      </c>
      <c r="Y142" s="20" t="s">
        <v>530</v>
      </c>
    </row>
    <row r="143" spans="1:35" x14ac:dyDescent="0.25">
      <c r="X143" s="20" t="s">
        <v>433</v>
      </c>
      <c r="Y143" s="20" t="s">
        <v>534</v>
      </c>
    </row>
    <row r="144" spans="1:35" x14ac:dyDescent="0.25">
      <c r="X144" s="20" t="s">
        <v>429</v>
      </c>
      <c r="Y144" s="20" t="s">
        <v>526</v>
      </c>
    </row>
    <row r="145" spans="24:25" x14ac:dyDescent="0.25">
      <c r="X145" s="20" t="s">
        <v>476</v>
      </c>
      <c r="Y145" s="20" t="s">
        <v>569</v>
      </c>
    </row>
    <row r="146" spans="24:25" x14ac:dyDescent="0.25">
      <c r="X146" s="15" t="s">
        <v>478</v>
      </c>
      <c r="Y146" s="15" t="s">
        <v>612</v>
      </c>
    </row>
    <row r="147" spans="24:25" x14ac:dyDescent="0.25">
      <c r="X147" s="15" t="s">
        <v>477</v>
      </c>
      <c r="Y147" s="15" t="s">
        <v>613</v>
      </c>
    </row>
    <row r="148" spans="24:25" x14ac:dyDescent="0.25">
      <c r="X148" s="20" t="s">
        <v>475</v>
      </c>
      <c r="Y148" s="20" t="s">
        <v>574</v>
      </c>
    </row>
    <row r="149" spans="24:25" x14ac:dyDescent="0.25">
      <c r="X149" s="20" t="s">
        <v>564</v>
      </c>
      <c r="Y149" s="20" t="s">
        <v>679</v>
      </c>
    </row>
    <row r="150" spans="24:25" x14ac:dyDescent="0.25">
      <c r="X150" s="20" t="s">
        <v>464</v>
      </c>
      <c r="Y150" s="20" t="s">
        <v>680</v>
      </c>
    </row>
    <row r="151" spans="24:25" x14ac:dyDescent="0.25">
      <c r="X151" s="20" t="s">
        <v>463</v>
      </c>
      <c r="Y151" s="20" t="s">
        <v>681</v>
      </c>
    </row>
    <row r="152" spans="24:25" x14ac:dyDescent="0.25">
      <c r="X152" s="20" t="s">
        <v>462</v>
      </c>
      <c r="Y152" s="20" t="s">
        <v>682</v>
      </c>
    </row>
    <row r="153" spans="24:25" ht="15.5" x14ac:dyDescent="0.35">
      <c r="X153" s="254" t="s">
        <v>731</v>
      </c>
      <c r="Y153" s="255" t="s">
        <v>764</v>
      </c>
    </row>
    <row r="154" spans="24:25" ht="15.5" x14ac:dyDescent="0.35">
      <c r="X154" s="254" t="s">
        <v>731</v>
      </c>
      <c r="Y154" s="255" t="s">
        <v>764</v>
      </c>
    </row>
    <row r="155" spans="24:25" ht="15.5" x14ac:dyDescent="0.35">
      <c r="X155" s="254" t="s">
        <v>732</v>
      </c>
      <c r="Y155" s="255" t="s">
        <v>768</v>
      </c>
    </row>
    <row r="156" spans="24:25" ht="15.5" x14ac:dyDescent="0.35">
      <c r="X156" s="254" t="s">
        <v>732</v>
      </c>
      <c r="Y156" s="255" t="s">
        <v>768</v>
      </c>
    </row>
    <row r="157" spans="24:25" ht="15.5" x14ac:dyDescent="0.35">
      <c r="X157" s="254" t="s">
        <v>733</v>
      </c>
      <c r="Y157" s="255" t="s">
        <v>780</v>
      </c>
    </row>
    <row r="158" spans="24:25" ht="15.5" x14ac:dyDescent="0.35">
      <c r="X158" s="254" t="s">
        <v>733</v>
      </c>
      <c r="Y158" s="255" t="s">
        <v>780</v>
      </c>
    </row>
    <row r="159" spans="24:25" ht="15.5" x14ac:dyDescent="0.35">
      <c r="X159" s="254" t="s">
        <v>735</v>
      </c>
      <c r="Y159" s="255" t="s">
        <v>776</v>
      </c>
    </row>
    <row r="160" spans="24:25" ht="15.5" x14ac:dyDescent="0.35">
      <c r="X160" s="254" t="s">
        <v>735</v>
      </c>
      <c r="Y160" s="255" t="s">
        <v>776</v>
      </c>
    </row>
    <row r="161" spans="24:25" ht="15.5" x14ac:dyDescent="0.35">
      <c r="X161" s="254" t="s">
        <v>734</v>
      </c>
      <c r="Y161" s="255" t="s">
        <v>772</v>
      </c>
    </row>
    <row r="162" spans="24:25" ht="15.5" x14ac:dyDescent="0.35">
      <c r="X162" s="254" t="s">
        <v>734</v>
      </c>
      <c r="Y162" s="255" t="s">
        <v>772</v>
      </c>
    </row>
    <row r="163" spans="24:25" x14ac:dyDescent="0.25">
      <c r="X163" s="20" t="s">
        <v>418</v>
      </c>
      <c r="Y163" s="20" t="s">
        <v>519</v>
      </c>
    </row>
    <row r="164" spans="24:25" x14ac:dyDescent="0.25">
      <c r="X164" s="20" t="s">
        <v>422</v>
      </c>
      <c r="Y164" s="20" t="s">
        <v>523</v>
      </c>
    </row>
    <row r="165" spans="24:25" x14ac:dyDescent="0.25">
      <c r="X165" s="20" t="s">
        <v>425</v>
      </c>
      <c r="Y165" s="20" t="s">
        <v>531</v>
      </c>
    </row>
    <row r="166" spans="24:25" x14ac:dyDescent="0.25">
      <c r="X166" s="20" t="s">
        <v>434</v>
      </c>
      <c r="Y166" s="20" t="s">
        <v>535</v>
      </c>
    </row>
    <row r="167" spans="24:25" x14ac:dyDescent="0.25">
      <c r="X167" s="20" t="s">
        <v>430</v>
      </c>
      <c r="Y167" s="20" t="s">
        <v>527</v>
      </c>
    </row>
    <row r="168" spans="24:25" x14ac:dyDescent="0.25">
      <c r="X168" s="20" t="s">
        <v>570</v>
      </c>
      <c r="Y168" s="20" t="s">
        <v>571</v>
      </c>
    </row>
    <row r="169" spans="24:25" x14ac:dyDescent="0.25">
      <c r="X169" s="15" t="s">
        <v>480</v>
      </c>
      <c r="Y169" s="15" t="s">
        <v>614</v>
      </c>
    </row>
    <row r="170" spans="24:25" x14ac:dyDescent="0.25">
      <c r="X170" s="15" t="s">
        <v>479</v>
      </c>
      <c r="Y170" s="15" t="s">
        <v>615</v>
      </c>
    </row>
    <row r="171" spans="24:25" x14ac:dyDescent="0.25">
      <c r="X171" s="20" t="s">
        <v>575</v>
      </c>
      <c r="Y171" s="20" t="s">
        <v>576</v>
      </c>
    </row>
    <row r="172" spans="24:25" x14ac:dyDescent="0.25">
      <c r="X172" s="20" t="s">
        <v>565</v>
      </c>
      <c r="Y172" s="20" t="s">
        <v>683</v>
      </c>
    </row>
    <row r="173" spans="24:25" x14ac:dyDescent="0.25">
      <c r="X173" s="20" t="s">
        <v>466</v>
      </c>
      <c r="Y173" s="20" t="s">
        <v>684</v>
      </c>
    </row>
    <row r="174" spans="24:25" x14ac:dyDescent="0.25">
      <c r="X174" s="20" t="s">
        <v>465</v>
      </c>
      <c r="Y174" s="20" t="s">
        <v>685</v>
      </c>
    </row>
    <row r="175" spans="24:25" x14ac:dyDescent="0.25">
      <c r="X175" s="20" t="s">
        <v>566</v>
      </c>
      <c r="Y175" s="20" t="s">
        <v>686</v>
      </c>
    </row>
    <row r="176" spans="24:25" ht="15.5" x14ac:dyDescent="0.35">
      <c r="X176" s="254" t="s">
        <v>736</v>
      </c>
      <c r="Y176" s="255" t="s">
        <v>765</v>
      </c>
    </row>
    <row r="177" spans="24:25" ht="15.5" x14ac:dyDescent="0.35">
      <c r="X177" s="254" t="s">
        <v>736</v>
      </c>
      <c r="Y177" s="255" t="s">
        <v>765</v>
      </c>
    </row>
    <row r="178" spans="24:25" ht="15.5" x14ac:dyDescent="0.35">
      <c r="X178" s="254" t="s">
        <v>737</v>
      </c>
      <c r="Y178" s="255" t="s">
        <v>769</v>
      </c>
    </row>
    <row r="179" spans="24:25" ht="15.5" x14ac:dyDescent="0.35">
      <c r="X179" s="254" t="s">
        <v>737</v>
      </c>
      <c r="Y179" s="255" t="s">
        <v>769</v>
      </c>
    </row>
    <row r="180" spans="24:25" ht="15.5" x14ac:dyDescent="0.35">
      <c r="X180" s="254" t="s">
        <v>738</v>
      </c>
      <c r="Y180" s="255" t="s">
        <v>781</v>
      </c>
    </row>
    <row r="181" spans="24:25" ht="15.5" x14ac:dyDescent="0.35">
      <c r="X181" s="254" t="s">
        <v>738</v>
      </c>
      <c r="Y181" s="255" t="s">
        <v>781</v>
      </c>
    </row>
    <row r="182" spans="24:25" ht="15.5" x14ac:dyDescent="0.35">
      <c r="X182" s="254" t="s">
        <v>740</v>
      </c>
      <c r="Y182" s="255" t="s">
        <v>777</v>
      </c>
    </row>
    <row r="183" spans="24:25" ht="15.5" x14ac:dyDescent="0.35">
      <c r="X183" s="254" t="s">
        <v>740</v>
      </c>
      <c r="Y183" s="255" t="s">
        <v>777</v>
      </c>
    </row>
    <row r="184" spans="24:25" ht="15.5" x14ac:dyDescent="0.35">
      <c r="X184" s="254" t="s">
        <v>739</v>
      </c>
      <c r="Y184" s="255" t="s">
        <v>773</v>
      </c>
    </row>
    <row r="185" spans="24:25" ht="15.5" x14ac:dyDescent="0.35">
      <c r="X185" s="254" t="s">
        <v>739</v>
      </c>
      <c r="Y185" s="255" t="s">
        <v>773</v>
      </c>
    </row>
    <row r="186" spans="24:25" x14ac:dyDescent="0.25">
      <c r="X186" s="20" t="s">
        <v>419</v>
      </c>
      <c r="Y186" s="20" t="s">
        <v>520</v>
      </c>
    </row>
    <row r="187" spans="24:25" x14ac:dyDescent="0.25">
      <c r="X187" s="20" t="s">
        <v>423</v>
      </c>
      <c r="Y187" s="20" t="s">
        <v>524</v>
      </c>
    </row>
    <row r="188" spans="24:25" x14ac:dyDescent="0.25">
      <c r="X188" s="20" t="s">
        <v>426</v>
      </c>
      <c r="Y188" s="20" t="s">
        <v>532</v>
      </c>
    </row>
    <row r="189" spans="24:25" x14ac:dyDescent="0.25">
      <c r="X189" s="20" t="s">
        <v>435</v>
      </c>
      <c r="Y189" s="20" t="s">
        <v>536</v>
      </c>
    </row>
    <row r="190" spans="24:25" x14ac:dyDescent="0.25">
      <c r="X190" s="20" t="s">
        <v>431</v>
      </c>
      <c r="Y190" s="20" t="s">
        <v>528</v>
      </c>
    </row>
    <row r="191" spans="24:25" x14ac:dyDescent="0.25">
      <c r="X191" s="20" t="s">
        <v>539</v>
      </c>
      <c r="Y191" s="20" t="s">
        <v>540</v>
      </c>
    </row>
    <row r="192" spans="24:25" x14ac:dyDescent="0.25">
      <c r="X192" s="20" t="s">
        <v>541</v>
      </c>
      <c r="Y192" s="15" t="s">
        <v>542</v>
      </c>
    </row>
    <row r="193" spans="24:25" x14ac:dyDescent="0.25">
      <c r="X193" s="20" t="s">
        <v>537</v>
      </c>
      <c r="Y193" s="20" t="s">
        <v>538</v>
      </c>
    </row>
  </sheetData>
  <sortState xmlns:xlrd2="http://schemas.microsoft.com/office/spreadsheetml/2017/richdata2" ref="X7:Y193">
    <sortCondition ref="X7:X193"/>
  </sortState>
  <mergeCells count="1">
    <mergeCell ref="D8:E8"/>
  </mergeCells>
  <phoneticPr fontId="11" type="noConversion"/>
  <conditionalFormatting sqref="Y118 Y106 Y102 Y114">
    <cfRule type="expression" dxfId="13" priority="7" stopIfTrue="1">
      <formula>IF(LEN(Y102)&gt;Y$51,1,0)</formula>
    </cfRule>
  </conditionalFormatting>
  <conditionalFormatting sqref="Y14 Y26 Y10 Y22">
    <cfRule type="expression" dxfId="12" priority="11" stopIfTrue="1">
      <formula>IF(LEN(Y10)&gt;Y$30,1,0)</formula>
    </cfRule>
  </conditionalFormatting>
  <dataValidations disablePrompts="1" count="1">
    <dataValidation type="list" allowBlank="1" showInputMessage="1" showErrorMessage="1" sqref="A23:A24" xr:uid="{00000000-0002-0000-0800-000000000000}">
      <formula1>$A$23:$A$24</formula1>
    </dataValidation>
  </dataValidations>
  <pageMargins left="0.75" right="0.75" top="1" bottom="1" header="0.5" footer="0.5"/>
  <pageSetup orientation="portrait" horizontalDpi="1200" verticalDpi="1200" r:id="rId1"/>
  <headerFooter alignWithMargins="0">
    <oddFooter>&amp;C&amp;1#&amp;"Arial"&amp;6&amp;K626469Internal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Single VFD</vt:lpstr>
      <vt:lpstr>work page</vt:lpstr>
      <vt:lpstr>Selection Basics</vt:lpstr>
      <vt:lpstr>Instructions</vt:lpstr>
      <vt:lpstr>Electrical System 1-line</vt:lpstr>
      <vt:lpstr>AccuSine Sizing Tool</vt:lpstr>
      <vt:lpstr>Server</vt:lpstr>
      <vt:lpstr>Model Selector</vt:lpstr>
      <vt:lpstr>Mod Sel Calcs</vt:lpstr>
      <vt:lpstr>CT Selector</vt:lpstr>
      <vt:lpstr>Typical  THDi levels </vt:lpstr>
      <vt:lpstr>Equipment</vt:lpstr>
      <vt:lpstr>InstalledImpedance</vt:lpstr>
      <vt:lpstr>no</vt:lpstr>
      <vt:lpstr>PCC</vt:lpstr>
      <vt:lpstr>PowerRating</vt:lpstr>
      <vt:lpstr>'AccuSine Sizing Tool'!Print_Area</vt:lpstr>
      <vt:lpstr>'CT Selector'!Print_Area</vt:lpstr>
      <vt:lpstr>'Electrical System 1-line'!Print_Area</vt:lpstr>
      <vt:lpstr>Instructions!Print_Area</vt:lpstr>
      <vt:lpstr>'Model Selector'!Print_Area</vt:lpstr>
      <vt:lpstr>Server!Print_Area</vt:lpstr>
      <vt:lpstr>'Typical  THDi levels '!Print_Area</vt:lpstr>
      <vt:lpstr>Pulses</vt:lpstr>
      <vt:lpstr>StandardApplied</vt:lpstr>
      <vt:lpstr>UnitofPower</vt:lpstr>
      <vt:lpstr>x</vt:lpstr>
      <vt:lpstr>yes</vt:lpstr>
    </vt:vector>
  </TitlesOfParts>
  <Company>Schneider Electric North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mpl649</dc:creator>
  <cp:lastModifiedBy>MARIO TETI</cp:lastModifiedBy>
  <cp:lastPrinted>2017-05-22T03:01:06Z</cp:lastPrinted>
  <dcterms:created xsi:type="dcterms:W3CDTF">2010-02-10T17:52:29Z</dcterms:created>
  <dcterms:modified xsi:type="dcterms:W3CDTF">2024-03-06T01:50:58Z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f93e5f-d3c2-49a7-ba94-15405423c204_Enabled">
    <vt:lpwstr>true</vt:lpwstr>
  </property>
  <property fmtid="{D5CDD505-2E9C-101B-9397-08002B2CF9AE}" pid="3" name="MSIP_Label_23f93e5f-d3c2-49a7-ba94-15405423c204_SetDate">
    <vt:lpwstr>2022-01-19T16:19:03Z</vt:lpwstr>
  </property>
  <property fmtid="{D5CDD505-2E9C-101B-9397-08002B2CF9AE}" pid="4" name="MSIP_Label_23f93e5f-d3c2-49a7-ba94-15405423c204_Method">
    <vt:lpwstr>Standard</vt:lpwstr>
  </property>
  <property fmtid="{D5CDD505-2E9C-101B-9397-08002B2CF9AE}" pid="5" name="MSIP_Label_23f93e5f-d3c2-49a7-ba94-15405423c204_Name">
    <vt:lpwstr>SE Internal</vt:lpwstr>
  </property>
  <property fmtid="{D5CDD505-2E9C-101B-9397-08002B2CF9AE}" pid="6" name="MSIP_Label_23f93e5f-d3c2-49a7-ba94-15405423c204_SiteId">
    <vt:lpwstr>6e51e1ad-c54b-4b39-b598-0ffe9ae68fef</vt:lpwstr>
  </property>
  <property fmtid="{D5CDD505-2E9C-101B-9397-08002B2CF9AE}" pid="7" name="MSIP_Label_23f93e5f-d3c2-49a7-ba94-15405423c204_ActionId">
    <vt:lpwstr>70e3885f-6f11-417a-bce0-5a5f1e08ff62</vt:lpwstr>
  </property>
  <property fmtid="{D5CDD505-2E9C-101B-9397-08002B2CF9AE}" pid="8" name="MSIP_Label_23f93e5f-d3c2-49a7-ba94-15405423c204_ContentBits">
    <vt:lpwstr>2</vt:lpwstr>
  </property>
</Properties>
</file>